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60" windowWidth="19320" windowHeight="11760" tabRatio="813" firstSheet="2" activeTab="2"/>
  </bookViews>
  <sheets>
    <sheet name="ПОСТУПИВШИЕ" sheetId="3" state="hidden" r:id="rId1"/>
    <sheet name="ПОСТУПИВШИЕ ПРИГР" sheetId="4" state="hidden" r:id="rId2"/>
    <sheet name="Для Усовой" sheetId="16" r:id="rId3"/>
    <sheet name="Баландина по Усовой" sheetId="11" state="hidden" r:id="rId4"/>
    <sheet name="Расход" sheetId="9" state="hidden" r:id="rId5"/>
    <sheet name="СВОД" sheetId="17" state="hidden" r:id="rId6"/>
    <sheet name="Расход пригр" sheetId="10" state="hidden" r:id="rId7"/>
    <sheet name="СВОД (2)" sheetId="21" state="hidden" r:id="rId8"/>
    <sheet name="Лист2" sheetId="18" state="hidden" r:id="rId9"/>
    <sheet name="Лист3" sheetId="19" state="hidden" r:id="rId10"/>
    <sheet name="СВОД (3)" sheetId="34" state="hidden" r:id="rId11"/>
    <sheet name="Лист4" sheetId="32" state="hidden" r:id="rId12"/>
  </sheets>
  <externalReferences>
    <externalReference r:id="rId13"/>
  </externalReferences>
  <definedNames>
    <definedName name="_xlnm._FilterDatabase" localSheetId="4" hidden="1">Расход!$E$1:$E$109</definedName>
    <definedName name="_xlnm._FilterDatabase" localSheetId="5" hidden="1">СВОД!$A$2:$C$98</definedName>
    <definedName name="_xlnm._FilterDatabase" localSheetId="10" hidden="1">'СВОД (3)'!$A$2:$AD$102</definedName>
    <definedName name="_xlnm.Print_Area" localSheetId="4">Расход!$A$1:$H$105</definedName>
  </definedNames>
  <calcPr calcId="124519"/>
</workbook>
</file>

<file path=xl/calcChain.xml><?xml version="1.0" encoding="utf-8"?>
<calcChain xmlns="http://schemas.openxmlformats.org/spreadsheetml/2006/main">
  <c r="G84" i="9"/>
  <c r="H82"/>
  <c r="H83"/>
  <c r="G82"/>
  <c r="G83"/>
  <c r="H78"/>
  <c r="G78"/>
  <c r="H51"/>
  <c r="H52"/>
  <c r="G51"/>
  <c r="G52"/>
  <c r="G47"/>
  <c r="H29"/>
  <c r="H23"/>
  <c r="G23"/>
  <c r="G24"/>
  <c r="G29"/>
  <c r="G86" i="3"/>
  <c r="E100"/>
  <c r="C4" i="11"/>
  <c r="H90" i="3"/>
  <c r="H91"/>
  <c r="H92"/>
  <c r="H93"/>
  <c r="H94"/>
  <c r="H95"/>
  <c r="H96"/>
  <c r="H97"/>
  <c r="H98"/>
  <c r="H99"/>
  <c r="H89"/>
  <c r="H79"/>
  <c r="H80"/>
  <c r="H81"/>
  <c r="H82"/>
  <c r="H83"/>
  <c r="H86"/>
  <c r="H87"/>
  <c r="H78"/>
  <c r="H72"/>
  <c r="H73"/>
  <c r="H74"/>
  <c r="H75"/>
  <c r="H76"/>
  <c r="H49"/>
  <c r="H50"/>
  <c r="H51"/>
  <c r="H52"/>
  <c r="H53"/>
  <c r="H54"/>
  <c r="H48"/>
  <c r="H36"/>
  <c r="H37"/>
  <c r="H38"/>
  <c r="H40"/>
  <c r="H41"/>
  <c r="H42"/>
  <c r="H23"/>
  <c r="H24"/>
  <c r="H25"/>
  <c r="H26"/>
  <c r="H27"/>
  <c r="H28"/>
  <c r="H29"/>
  <c r="H30"/>
  <c r="H31"/>
  <c r="H32"/>
  <c r="H33"/>
  <c r="H5"/>
  <c r="H6"/>
  <c r="H7"/>
  <c r="H8"/>
  <c r="H9"/>
  <c r="H10"/>
  <c r="H13"/>
  <c r="H14"/>
  <c r="H15"/>
  <c r="H16"/>
  <c r="H17"/>
  <c r="H18"/>
  <c r="H19"/>
  <c r="H20"/>
  <c r="H21"/>
  <c r="D102"/>
  <c r="C102"/>
  <c r="D100"/>
  <c r="C100"/>
  <c r="D88"/>
  <c r="C88"/>
  <c r="D77"/>
  <c r="C77"/>
  <c r="D70"/>
  <c r="C70"/>
  <c r="D55"/>
  <c r="C55"/>
  <c r="D34"/>
  <c r="C34"/>
  <c r="D22"/>
  <c r="C22"/>
  <c r="F77" i="9"/>
  <c r="H36"/>
  <c r="H37"/>
  <c r="H38"/>
  <c r="H39"/>
  <c r="H40"/>
  <c r="H41"/>
  <c r="H42"/>
  <c r="G36"/>
  <c r="G37"/>
  <c r="G38"/>
  <c r="G39"/>
  <c r="G40"/>
  <c r="G41"/>
  <c r="G42"/>
  <c r="H6"/>
  <c r="H7"/>
  <c r="H8"/>
  <c r="H9"/>
  <c r="H10"/>
  <c r="H11"/>
  <c r="H12"/>
  <c r="H13"/>
  <c r="H14"/>
  <c r="H15"/>
  <c r="H16"/>
  <c r="H17"/>
  <c r="H18"/>
  <c r="H19"/>
  <c r="G6"/>
  <c r="G7"/>
  <c r="G8"/>
  <c r="G9"/>
  <c r="G10"/>
  <c r="G11"/>
  <c r="G12"/>
  <c r="G13"/>
  <c r="G14"/>
  <c r="G15"/>
  <c r="G16"/>
  <c r="G17"/>
  <c r="G18"/>
  <c r="G19"/>
  <c r="H57"/>
  <c r="H58"/>
  <c r="H60"/>
  <c r="H61"/>
  <c r="H62"/>
  <c r="H63"/>
  <c r="H64"/>
  <c r="H65"/>
  <c r="H66"/>
  <c r="H67"/>
  <c r="H68"/>
  <c r="H69"/>
  <c r="G57"/>
  <c r="G58"/>
  <c r="G60"/>
  <c r="G61"/>
  <c r="G62"/>
  <c r="G63"/>
  <c r="G64"/>
  <c r="G65"/>
  <c r="G66"/>
  <c r="G67"/>
  <c r="G68"/>
  <c r="G69"/>
  <c r="H91"/>
  <c r="H92"/>
  <c r="H93"/>
  <c r="H94"/>
  <c r="H96"/>
  <c r="H97"/>
  <c r="H98"/>
  <c r="H99"/>
  <c r="G91"/>
  <c r="G92"/>
  <c r="G93"/>
  <c r="G94"/>
  <c r="G96"/>
  <c r="G97"/>
  <c r="G98"/>
  <c r="G99"/>
  <c r="C101" i="34"/>
  <c r="AA93"/>
  <c r="AA102"/>
  <c r="C93"/>
  <c r="C80"/>
  <c r="C61"/>
  <c r="C54"/>
  <c r="C43"/>
  <c r="C31"/>
  <c r="AC20"/>
  <c r="O20"/>
  <c r="N20"/>
  <c r="J20"/>
  <c r="X20"/>
  <c r="Y20"/>
  <c r="E20"/>
  <c r="C16"/>
  <c r="C4"/>
  <c r="C90" i="11"/>
  <c r="C19"/>
  <c r="C102" i="9"/>
  <c r="D79" i="11"/>
  <c r="D85"/>
  <c r="D85" i="16"/>
  <c r="D73" i="11"/>
  <c r="D75"/>
  <c r="D31"/>
  <c r="D33"/>
  <c r="D47" i="3"/>
  <c r="D103"/>
  <c r="C47"/>
  <c r="E77" i="9"/>
  <c r="C13" i="11"/>
  <c r="C15"/>
  <c r="C17"/>
  <c r="D77" i="9"/>
  <c r="C77"/>
  <c r="D4" i="11"/>
  <c r="C5"/>
  <c r="D5"/>
  <c r="C6"/>
  <c r="D6"/>
  <c r="D6" i="16"/>
  <c r="C7" i="11"/>
  <c r="C7" i="16"/>
  <c r="D7" i="11"/>
  <c r="C8"/>
  <c r="D8"/>
  <c r="D8" i="16"/>
  <c r="C9" i="11"/>
  <c r="C9" i="16" s="1"/>
  <c r="D9" i="11"/>
  <c r="C10"/>
  <c r="C10" i="16"/>
  <c r="D10" i="11"/>
  <c r="C11"/>
  <c r="C11" i="16" s="1"/>
  <c r="G11" s="1"/>
  <c r="D11" i="11"/>
  <c r="C12"/>
  <c r="D12"/>
  <c r="D13"/>
  <c r="C14"/>
  <c r="C14" i="16" s="1"/>
  <c r="G14" s="1"/>
  <c r="D14" i="11"/>
  <c r="D15"/>
  <c r="C16"/>
  <c r="D16"/>
  <c r="D17"/>
  <c r="C18"/>
  <c r="C18" i="16"/>
  <c r="D18" i="11"/>
  <c r="D18" i="16"/>
  <c r="D19" i="11"/>
  <c r="C20"/>
  <c r="D20"/>
  <c r="D20" i="16"/>
  <c r="C21" i="11"/>
  <c r="D21"/>
  <c r="C23"/>
  <c r="D23"/>
  <c r="D23" i="16" s="1"/>
  <c r="C24" i="11"/>
  <c r="C24" i="16" s="1"/>
  <c r="D24" i="11"/>
  <c r="C25"/>
  <c r="D25"/>
  <c r="D25" i="16" s="1"/>
  <c r="H25" s="1"/>
  <c r="C26" i="11"/>
  <c r="C26" i="16" s="1"/>
  <c r="G26" s="1"/>
  <c r="D26" i="11"/>
  <c r="C27"/>
  <c r="D27"/>
  <c r="D27" i="16" s="1"/>
  <c r="H27" s="1"/>
  <c r="C28" i="11"/>
  <c r="C28" i="16" s="1"/>
  <c r="G28" s="1"/>
  <c r="D28" i="11"/>
  <c r="C29"/>
  <c r="D29"/>
  <c r="C30"/>
  <c r="C30" i="16"/>
  <c r="D30" i="11"/>
  <c r="C31"/>
  <c r="C32"/>
  <c r="C32" i="16"/>
  <c r="D32" i="11"/>
  <c r="D32" i="16"/>
  <c r="C33" i="11"/>
  <c r="C33" i="16"/>
  <c r="C35" i="11"/>
  <c r="D35"/>
  <c r="D35" i="16" s="1"/>
  <c r="C36" i="11"/>
  <c r="C36" i="16"/>
  <c r="D36" i="11"/>
  <c r="C37"/>
  <c r="D37"/>
  <c r="D37" i="16"/>
  <c r="C38" i="11"/>
  <c r="C38" i="16"/>
  <c r="D38" i="11"/>
  <c r="C39"/>
  <c r="C39" i="16" s="1"/>
  <c r="C47" s="1"/>
  <c r="G47" s="1"/>
  <c r="D39" i="11"/>
  <c r="C40"/>
  <c r="C40" i="16"/>
  <c r="D40" i="11"/>
  <c r="D40" i="16"/>
  <c r="C41" i="11"/>
  <c r="D41"/>
  <c r="C42"/>
  <c r="D42"/>
  <c r="D42" i="16"/>
  <c r="C43" i="11"/>
  <c r="D43"/>
  <c r="D43" i="16" s="1"/>
  <c r="C44" i="11"/>
  <c r="D44"/>
  <c r="D44" i="16"/>
  <c r="C45" i="11"/>
  <c r="C45" i="16"/>
  <c r="D45" i="11"/>
  <c r="C46"/>
  <c r="C46" i="16" s="1"/>
  <c r="D46" i="11"/>
  <c r="C48"/>
  <c r="D48"/>
  <c r="D48" i="16" s="1"/>
  <c r="C49" i="11"/>
  <c r="C49" i="16" s="1"/>
  <c r="D49" i="11"/>
  <c r="C50"/>
  <c r="C50" i="16"/>
  <c r="D50" i="11"/>
  <c r="C51"/>
  <c r="C51" i="16" s="1"/>
  <c r="G51" s="1"/>
  <c r="D51" i="11"/>
  <c r="C52"/>
  <c r="D52"/>
  <c r="C53"/>
  <c r="C53" i="16"/>
  <c r="D53" i="11"/>
  <c r="D53" i="16"/>
  <c r="C54" i="11"/>
  <c r="C54" i="16" s="1"/>
  <c r="D54" i="11"/>
  <c r="D54" i="16" s="1"/>
  <c r="H54" s="1"/>
  <c r="C56" i="11"/>
  <c r="D56"/>
  <c r="C57"/>
  <c r="D57"/>
  <c r="D57" i="16"/>
  <c r="C58" i="11"/>
  <c r="D58"/>
  <c r="C59"/>
  <c r="C59" i="16" s="1"/>
  <c r="D59" i="11"/>
  <c r="C60"/>
  <c r="D60"/>
  <c r="D60" i="16" s="1"/>
  <c r="C61" i="11"/>
  <c r="D61"/>
  <c r="C62"/>
  <c r="D62"/>
  <c r="C63"/>
  <c r="C63" i="16"/>
  <c r="D63" i="11"/>
  <c r="C64"/>
  <c r="D64"/>
  <c r="D64" i="16"/>
  <c r="C65" i="11"/>
  <c r="C65" i="16" s="1"/>
  <c r="G65" s="1"/>
  <c r="D65" i="11"/>
  <c r="C66"/>
  <c r="D66"/>
  <c r="D66" i="16" s="1"/>
  <c r="C67" i="11"/>
  <c r="C67" i="16"/>
  <c r="D67" i="11"/>
  <c r="C68"/>
  <c r="D68"/>
  <c r="C69"/>
  <c r="D69"/>
  <c r="C71"/>
  <c r="C71" i="16" s="1"/>
  <c r="D71" i="11"/>
  <c r="D71" i="16" s="1"/>
  <c r="C72" i="11"/>
  <c r="C72" i="16" s="1"/>
  <c r="G72" s="1"/>
  <c r="D72" i="11"/>
  <c r="C73"/>
  <c r="C74"/>
  <c r="D74"/>
  <c r="D74" i="16"/>
  <c r="C75" i="11"/>
  <c r="C75" i="16" s="1"/>
  <c r="G75" s="1"/>
  <c r="C76" i="11"/>
  <c r="C76" i="16" s="1"/>
  <c r="G76" s="1"/>
  <c r="D76" i="11"/>
  <c r="D76" i="16"/>
  <c r="C78" i="11"/>
  <c r="C78" i="16"/>
  <c r="D78" i="11"/>
  <c r="C79"/>
  <c r="C79" i="16" s="1"/>
  <c r="C80" i="11"/>
  <c r="C80" i="16" s="1"/>
  <c r="G80" s="1"/>
  <c r="D80" i="11"/>
  <c r="D80" i="16" s="1"/>
  <c r="C81" i="11"/>
  <c r="C81" i="16" s="1"/>
  <c r="G81" s="1"/>
  <c r="D81" i="11"/>
  <c r="D81" i="16" s="1"/>
  <c r="C82" i="11"/>
  <c r="C82" i="16"/>
  <c r="D82" i="11"/>
  <c r="D82" i="16"/>
  <c r="C83" i="11"/>
  <c r="C83" i="16" s="1"/>
  <c r="G83" s="1"/>
  <c r="D83" i="11"/>
  <c r="D83" i="16" s="1"/>
  <c r="C84" i="11"/>
  <c r="C84" i="16"/>
  <c r="D84" i="11"/>
  <c r="D84" i="16"/>
  <c r="C85" i="11"/>
  <c r="C86"/>
  <c r="C86" i="16"/>
  <c r="D86" i="11"/>
  <c r="D86" i="16"/>
  <c r="C87" i="11"/>
  <c r="C87" i="16"/>
  <c r="D87" i="11"/>
  <c r="C89"/>
  <c r="C89" i="16" s="1"/>
  <c r="D89" i="11"/>
  <c r="D90"/>
  <c r="D90" i="16"/>
  <c r="C91" i="11"/>
  <c r="C91" i="16"/>
  <c r="D91" i="11"/>
  <c r="C92"/>
  <c r="D92"/>
  <c r="C93"/>
  <c r="C93" i="16" s="1"/>
  <c r="G93" s="1"/>
  <c r="D93" i="11"/>
  <c r="D93" i="16" s="1"/>
  <c r="D100" s="1"/>
  <c r="H100" s="1"/>
  <c r="C94" i="11"/>
  <c r="D94"/>
  <c r="C95"/>
  <c r="C95" i="16"/>
  <c r="D95" i="11"/>
  <c r="D95" i="16"/>
  <c r="C96" i="11"/>
  <c r="D96"/>
  <c r="D96" i="16"/>
  <c r="C97" i="11"/>
  <c r="D97"/>
  <c r="C98"/>
  <c r="C98" i="16" s="1"/>
  <c r="G98" s="1"/>
  <c r="D98" i="11"/>
  <c r="D98" i="16" s="1"/>
  <c r="H98" s="1"/>
  <c r="C99" i="11"/>
  <c r="C99" i="16" s="1"/>
  <c r="G99" s="1"/>
  <c r="D99" i="11"/>
  <c r="C101"/>
  <c r="D101"/>
  <c r="C66" i="16"/>
  <c r="C37"/>
  <c r="F102" i="3"/>
  <c r="E22" i="9"/>
  <c r="G22"/>
  <c r="E34"/>
  <c r="E34" i="11"/>
  <c r="G34" s="1"/>
  <c r="E47" i="9"/>
  <c r="E47" i="11"/>
  <c r="E55" i="9"/>
  <c r="E55" i="11"/>
  <c r="G55" s="1"/>
  <c r="E100" i="9"/>
  <c r="E100" i="11"/>
  <c r="E47" i="3"/>
  <c r="C47" i="11"/>
  <c r="G47" s="1"/>
  <c r="G29" i="3"/>
  <c r="I38" i="21"/>
  <c r="D92"/>
  <c r="E54"/>
  <c r="E53"/>
  <c r="E52"/>
  <c r="E13"/>
  <c r="E14"/>
  <c r="E15"/>
  <c r="E3"/>
  <c r="E4"/>
  <c r="E5"/>
  <c r="E6"/>
  <c r="E7"/>
  <c r="E8"/>
  <c r="E9"/>
  <c r="E10"/>
  <c r="E11"/>
  <c r="E12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2"/>
  <c r="B92"/>
  <c r="G30" i="3"/>
  <c r="G31"/>
  <c r="G32"/>
  <c r="G51"/>
  <c r="G52"/>
  <c r="G39"/>
  <c r="G40"/>
  <c r="E44" i="11"/>
  <c r="G44" s="1"/>
  <c r="F44"/>
  <c r="F44" i="16" s="1"/>
  <c r="F47" s="1"/>
  <c r="E45" i="11"/>
  <c r="E45" i="16" s="1"/>
  <c r="G45" s="1"/>
  <c r="F45" i="11"/>
  <c r="F45" i="16"/>
  <c r="E46" i="11"/>
  <c r="E46" i="16"/>
  <c r="F46" i="11"/>
  <c r="F46" i="16"/>
  <c r="F43" i="11"/>
  <c r="F43" i="16"/>
  <c r="E43" i="11"/>
  <c r="E43" i="16"/>
  <c r="G43" s="1"/>
  <c r="F47" i="9"/>
  <c r="D47"/>
  <c r="C47"/>
  <c r="G87" i="3"/>
  <c r="F102" i="9"/>
  <c r="G54"/>
  <c r="H54"/>
  <c r="G26"/>
  <c r="H26"/>
  <c r="D6" i="10"/>
  <c r="G89" i="9"/>
  <c r="H89"/>
  <c r="G50"/>
  <c r="H50"/>
  <c r="G53"/>
  <c r="H53"/>
  <c r="G27"/>
  <c r="H27"/>
  <c r="G28"/>
  <c r="H28"/>
  <c r="G49" i="3"/>
  <c r="H71"/>
  <c r="H57"/>
  <c r="H58"/>
  <c r="H60"/>
  <c r="H61"/>
  <c r="H62"/>
  <c r="H63"/>
  <c r="H64"/>
  <c r="H65"/>
  <c r="H67"/>
  <c r="H68"/>
  <c r="H69"/>
  <c r="H56"/>
  <c r="F88"/>
  <c r="D88" i="11"/>
  <c r="F100" i="3"/>
  <c r="H100"/>
  <c r="F70"/>
  <c r="D70" i="11"/>
  <c r="F77" i="3"/>
  <c r="D77" i="11"/>
  <c r="G25" i="9"/>
  <c r="G4" i="3"/>
  <c r="D87" i="16"/>
  <c r="G81" i="9"/>
  <c r="H81"/>
  <c r="H84"/>
  <c r="G87"/>
  <c r="H87"/>
  <c r="G56"/>
  <c r="H56"/>
  <c r="G48"/>
  <c r="H48"/>
  <c r="G49"/>
  <c r="H49"/>
  <c r="G30"/>
  <c r="H30"/>
  <c r="G31"/>
  <c r="H31"/>
  <c r="G32"/>
  <c r="H32"/>
  <c r="G33"/>
  <c r="H33"/>
  <c r="G20"/>
  <c r="H20"/>
  <c r="G21"/>
  <c r="H21"/>
  <c r="F97" i="16"/>
  <c r="E101"/>
  <c r="D45"/>
  <c r="D46"/>
  <c r="F101" i="11"/>
  <c r="F102" s="1"/>
  <c r="F103" s="1"/>
  <c r="H103" s="1"/>
  <c r="F97"/>
  <c r="E97"/>
  <c r="C43" i="16"/>
  <c r="C101"/>
  <c r="G4" i="9"/>
  <c r="C100"/>
  <c r="G100"/>
  <c r="C102" i="11"/>
  <c r="C102" i="16"/>
  <c r="G91" i="3"/>
  <c r="G92"/>
  <c r="G94"/>
  <c r="G95"/>
  <c r="G96"/>
  <c r="G97"/>
  <c r="G98"/>
  <c r="G99"/>
  <c r="G79"/>
  <c r="G80"/>
  <c r="G81"/>
  <c r="G82"/>
  <c r="G83"/>
  <c r="G72"/>
  <c r="G73"/>
  <c r="G74"/>
  <c r="G75"/>
  <c r="G76"/>
  <c r="G57"/>
  <c r="G58"/>
  <c r="G60"/>
  <c r="G61"/>
  <c r="G62"/>
  <c r="G63"/>
  <c r="G64"/>
  <c r="G65"/>
  <c r="G66"/>
  <c r="G67"/>
  <c r="G68"/>
  <c r="G50"/>
  <c r="G53"/>
  <c r="G54"/>
  <c r="G36"/>
  <c r="G37"/>
  <c r="G38"/>
  <c r="G41"/>
  <c r="G42"/>
  <c r="G24"/>
  <c r="G25"/>
  <c r="G26"/>
  <c r="G27"/>
  <c r="G28"/>
  <c r="G33"/>
  <c r="G5"/>
  <c r="G6"/>
  <c r="G7"/>
  <c r="G8"/>
  <c r="G9"/>
  <c r="G10"/>
  <c r="G11"/>
  <c r="G12"/>
  <c r="G13"/>
  <c r="G14"/>
  <c r="G15"/>
  <c r="G16"/>
  <c r="G17"/>
  <c r="G18"/>
  <c r="G19"/>
  <c r="G20"/>
  <c r="G21"/>
  <c r="G69"/>
  <c r="C6" i="16"/>
  <c r="C4" i="4"/>
  <c r="G71" i="3"/>
  <c r="D22" i="9"/>
  <c r="C8" i="16"/>
  <c r="E99"/>
  <c r="E98"/>
  <c r="E95" i="11"/>
  <c r="E79" i="16"/>
  <c r="G79" s="1"/>
  <c r="E78"/>
  <c r="E65"/>
  <c r="E41"/>
  <c r="E35"/>
  <c r="E25"/>
  <c r="E23" i="11"/>
  <c r="G23" s="1"/>
  <c r="E18" i="16"/>
  <c r="G18" s="1"/>
  <c r="E13" i="11"/>
  <c r="E12" i="16"/>
  <c r="E4"/>
  <c r="E91"/>
  <c r="G91" s="1"/>
  <c r="E92"/>
  <c r="E93"/>
  <c r="E94"/>
  <c r="E95"/>
  <c r="G95" s="1"/>
  <c r="E96"/>
  <c r="E97"/>
  <c r="E89"/>
  <c r="E87"/>
  <c r="G87"/>
  <c r="E80"/>
  <c r="E81"/>
  <c r="E82"/>
  <c r="G82"/>
  <c r="E83"/>
  <c r="E84"/>
  <c r="G84"/>
  <c r="E85"/>
  <c r="E86"/>
  <c r="G86" s="1"/>
  <c r="E72"/>
  <c r="E73"/>
  <c r="E74"/>
  <c r="E75"/>
  <c r="E76"/>
  <c r="E71"/>
  <c r="E56"/>
  <c r="E59"/>
  <c r="E60"/>
  <c r="E61"/>
  <c r="E62"/>
  <c r="E63"/>
  <c r="E64"/>
  <c r="E66"/>
  <c r="E67"/>
  <c r="G67"/>
  <c r="E68"/>
  <c r="E69"/>
  <c r="E58"/>
  <c r="E57"/>
  <c r="C12"/>
  <c r="G12" s="1"/>
  <c r="C16"/>
  <c r="F34" i="3"/>
  <c r="D34" i="11"/>
  <c r="E77" i="3"/>
  <c r="C77" i="11"/>
  <c r="G73" i="9"/>
  <c r="G74"/>
  <c r="G76"/>
  <c r="H71"/>
  <c r="C6" i="10"/>
  <c r="C8"/>
  <c r="H5" i="9"/>
  <c r="D4" i="10"/>
  <c r="H4" i="9"/>
  <c r="E24" i="11"/>
  <c r="G24" s="1"/>
  <c r="E11"/>
  <c r="G11" s="1"/>
  <c r="E14"/>
  <c r="G14" s="1"/>
  <c r="E15" i="16"/>
  <c r="G15" s="1"/>
  <c r="E19"/>
  <c r="E7"/>
  <c r="G7"/>
  <c r="E8"/>
  <c r="E15" i="11"/>
  <c r="E4" i="10"/>
  <c r="E20" i="16"/>
  <c r="F92" i="11"/>
  <c r="F96"/>
  <c r="F89" i="16"/>
  <c r="F73" i="11"/>
  <c r="H75" i="9"/>
  <c r="F71" i="16"/>
  <c r="F60"/>
  <c r="H60" s="1"/>
  <c r="F63" i="11"/>
  <c r="F64" i="16"/>
  <c r="H64" s="1"/>
  <c r="F67"/>
  <c r="H67" s="1"/>
  <c r="F50" i="11"/>
  <c r="H50"/>
  <c r="F54" i="16"/>
  <c r="F39" i="11"/>
  <c r="H39" s="1"/>
  <c r="F35" i="16"/>
  <c r="H35" s="1"/>
  <c r="F27"/>
  <c r="F31" i="11"/>
  <c r="F8"/>
  <c r="F12" i="16"/>
  <c r="F13" i="11"/>
  <c r="H13" s="1"/>
  <c r="F16" i="16"/>
  <c r="F17"/>
  <c r="F20"/>
  <c r="H20" s="1"/>
  <c r="G80" i="9"/>
  <c r="G75"/>
  <c r="G71"/>
  <c r="D65" i="16"/>
  <c r="D61"/>
  <c r="D51"/>
  <c r="D26"/>
  <c r="D30"/>
  <c r="C56"/>
  <c r="C42"/>
  <c r="C29"/>
  <c r="C25"/>
  <c r="G25" s="1"/>
  <c r="H35" i="3"/>
  <c r="D5" i="16"/>
  <c r="D11"/>
  <c r="D19"/>
  <c r="E73" i="11"/>
  <c r="E66"/>
  <c r="E57"/>
  <c r="E31" i="16"/>
  <c r="E30"/>
  <c r="E26"/>
  <c r="E10"/>
  <c r="H72" i="9"/>
  <c r="H74"/>
  <c r="C5" i="10"/>
  <c r="D94" i="16"/>
  <c r="C62"/>
  <c r="C31"/>
  <c r="E49"/>
  <c r="G49" s="1"/>
  <c r="E50"/>
  <c r="G50" s="1"/>
  <c r="E51"/>
  <c r="E52"/>
  <c r="E53"/>
  <c r="G53" s="1"/>
  <c r="E54"/>
  <c r="G54" s="1"/>
  <c r="E48"/>
  <c r="E36"/>
  <c r="E37"/>
  <c r="G37" s="1"/>
  <c r="E38"/>
  <c r="G38" s="1"/>
  <c r="E39"/>
  <c r="G39" s="1"/>
  <c r="E40"/>
  <c r="G40" s="1"/>
  <c r="E42"/>
  <c r="E24"/>
  <c r="E27"/>
  <c r="E28"/>
  <c r="E29"/>
  <c r="G29"/>
  <c r="E32"/>
  <c r="G32"/>
  <c r="E33"/>
  <c r="G33"/>
  <c r="E11"/>
  <c r="E14"/>
  <c r="D24"/>
  <c r="D28"/>
  <c r="D29"/>
  <c r="D41"/>
  <c r="D49"/>
  <c r="D52"/>
  <c r="D58"/>
  <c r="D59"/>
  <c r="D67"/>
  <c r="D72"/>
  <c r="D91"/>
  <c r="D99"/>
  <c r="C35"/>
  <c r="C41"/>
  <c r="C48"/>
  <c r="C52"/>
  <c r="C58"/>
  <c r="C68"/>
  <c r="C85"/>
  <c r="C92"/>
  <c r="G92" s="1"/>
  <c r="D7" i="10"/>
  <c r="C7"/>
  <c r="F9" i="4"/>
  <c r="F55" i="3"/>
  <c r="D55" i="11"/>
  <c r="E6"/>
  <c r="G6" s="1"/>
  <c r="E10"/>
  <c r="G10" s="1"/>
  <c r="E18"/>
  <c r="G18" s="1"/>
  <c r="E19"/>
  <c r="E25"/>
  <c r="G25"/>
  <c r="E26"/>
  <c r="E27"/>
  <c r="G27" s="1"/>
  <c r="E28"/>
  <c r="G28" s="1"/>
  <c r="E29"/>
  <c r="G29" s="1"/>
  <c r="E31"/>
  <c r="G31" s="1"/>
  <c r="E32"/>
  <c r="E33"/>
  <c r="E35"/>
  <c r="G35" s="1"/>
  <c r="E36"/>
  <c r="E37"/>
  <c r="E38"/>
  <c r="E39"/>
  <c r="G39"/>
  <c r="E40"/>
  <c r="E41"/>
  <c r="G41" s="1"/>
  <c r="E42"/>
  <c r="E48"/>
  <c r="G48"/>
  <c r="E49"/>
  <c r="E50"/>
  <c r="E51"/>
  <c r="E52"/>
  <c r="G52" s="1"/>
  <c r="E53"/>
  <c r="G53" s="1"/>
  <c r="E54"/>
  <c r="G54" s="1"/>
  <c r="E56"/>
  <c r="G56" s="1"/>
  <c r="E58"/>
  <c r="G58" s="1"/>
  <c r="E59"/>
  <c r="E60"/>
  <c r="G60"/>
  <c r="E61"/>
  <c r="G61"/>
  <c r="E62"/>
  <c r="E63"/>
  <c r="E65"/>
  <c r="E67"/>
  <c r="E68"/>
  <c r="G68"/>
  <c r="E69"/>
  <c r="E71"/>
  <c r="G71" s="1"/>
  <c r="E74"/>
  <c r="G74" s="1"/>
  <c r="E75"/>
  <c r="E76"/>
  <c r="G76"/>
  <c r="E79"/>
  <c r="G79"/>
  <c r="E80"/>
  <c r="E81"/>
  <c r="E82"/>
  <c r="G82"/>
  <c r="E83"/>
  <c r="E84"/>
  <c r="E85"/>
  <c r="E86"/>
  <c r="G86" s="1"/>
  <c r="E87"/>
  <c r="E89"/>
  <c r="G89"/>
  <c r="E90"/>
  <c r="G90"/>
  <c r="E91"/>
  <c r="E92"/>
  <c r="G92" s="1"/>
  <c r="E93"/>
  <c r="G93" s="1"/>
  <c r="E94"/>
  <c r="E96"/>
  <c r="G96"/>
  <c r="E98"/>
  <c r="E99"/>
  <c r="G99" s="1"/>
  <c r="E9" i="10"/>
  <c r="E7"/>
  <c r="G7"/>
  <c r="E6"/>
  <c r="G6"/>
  <c r="D4" i="4"/>
  <c r="E4"/>
  <c r="G4" s="1"/>
  <c r="C5"/>
  <c r="D5"/>
  <c r="E5"/>
  <c r="G5" s="1"/>
  <c r="F78" i="16"/>
  <c r="F6" i="10"/>
  <c r="H6"/>
  <c r="F7"/>
  <c r="H7"/>
  <c r="F8"/>
  <c r="F5"/>
  <c r="H79" i="9"/>
  <c r="H76"/>
  <c r="H35"/>
  <c r="G35" i="3"/>
  <c r="G78"/>
  <c r="F40" i="16"/>
  <c r="H40" s="1"/>
  <c r="F76"/>
  <c r="F38" i="11"/>
  <c r="H38" s="1"/>
  <c r="F42"/>
  <c r="H42" s="1"/>
  <c r="F37"/>
  <c r="F41" i="16"/>
  <c r="F81" i="11"/>
  <c r="F83" i="16"/>
  <c r="H83" s="1"/>
  <c r="F85"/>
  <c r="F74" i="11"/>
  <c r="F58" i="16"/>
  <c r="F62" i="11"/>
  <c r="F66" i="16"/>
  <c r="H66" s="1"/>
  <c r="F50"/>
  <c r="F52"/>
  <c r="F28" i="11"/>
  <c r="H28"/>
  <c r="F32"/>
  <c r="H32"/>
  <c r="F6" i="16"/>
  <c r="F8"/>
  <c r="H8" s="1"/>
  <c r="G79" i="9"/>
  <c r="F48" i="16"/>
  <c r="F41" i="11"/>
  <c r="F5"/>
  <c r="H5" s="1"/>
  <c r="F7"/>
  <c r="H7" s="1"/>
  <c r="F26" i="16"/>
  <c r="F28"/>
  <c r="F30"/>
  <c r="F32"/>
  <c r="F101"/>
  <c r="F102" s="1"/>
  <c r="F90"/>
  <c r="F94"/>
  <c r="H94"/>
  <c r="F95"/>
  <c r="H95" s="1"/>
  <c r="F96"/>
  <c r="H96" s="1"/>
  <c r="F98"/>
  <c r="F79"/>
  <c r="F80"/>
  <c r="F81"/>
  <c r="H81" s="1"/>
  <c r="F84"/>
  <c r="H84" s="1"/>
  <c r="F87"/>
  <c r="H87"/>
  <c r="F75"/>
  <c r="F57"/>
  <c r="F59"/>
  <c r="F61"/>
  <c r="F62"/>
  <c r="F63"/>
  <c r="F65"/>
  <c r="H65"/>
  <c r="F69"/>
  <c r="F56"/>
  <c r="F49"/>
  <c r="H49" s="1"/>
  <c r="F51"/>
  <c r="H51" s="1"/>
  <c r="F53"/>
  <c r="H53" s="1"/>
  <c r="F36"/>
  <c r="F38"/>
  <c r="F42"/>
  <c r="F29"/>
  <c r="H29" s="1"/>
  <c r="F33"/>
  <c r="F7"/>
  <c r="F10"/>
  <c r="F11"/>
  <c r="H11"/>
  <c r="F13"/>
  <c r="F14"/>
  <c r="F15"/>
  <c r="F18"/>
  <c r="F19"/>
  <c r="F4"/>
  <c r="F90" i="11"/>
  <c r="H90" s="1"/>
  <c r="F94"/>
  <c r="H94" s="1"/>
  <c r="F98"/>
  <c r="F99"/>
  <c r="H99"/>
  <c r="F89"/>
  <c r="H89"/>
  <c r="F79"/>
  <c r="H79"/>
  <c r="F80"/>
  <c r="H80"/>
  <c r="F84"/>
  <c r="H84"/>
  <c r="F87"/>
  <c r="F57"/>
  <c r="H57" s="1"/>
  <c r="F58"/>
  <c r="F59"/>
  <c r="F61"/>
  <c r="F65"/>
  <c r="H65"/>
  <c r="F69"/>
  <c r="H69"/>
  <c r="F56"/>
  <c r="F49"/>
  <c r="H49" s="1"/>
  <c r="F51"/>
  <c r="H51" s="1"/>
  <c r="F53"/>
  <c r="F48"/>
  <c r="F35"/>
  <c r="H35" s="1"/>
  <c r="F26"/>
  <c r="H26" s="1"/>
  <c r="F29"/>
  <c r="H29" s="1"/>
  <c r="F30"/>
  <c r="H30" s="1"/>
  <c r="F33"/>
  <c r="H33" s="1"/>
  <c r="F10"/>
  <c r="F14"/>
  <c r="H14"/>
  <c r="F18"/>
  <c r="H18"/>
  <c r="F4"/>
  <c r="H4"/>
  <c r="D102" i="9"/>
  <c r="E9" i="4"/>
  <c r="C9"/>
  <c r="C8"/>
  <c r="D7"/>
  <c r="E6"/>
  <c r="D6"/>
  <c r="C6"/>
  <c r="A5" i="9"/>
  <c r="A6"/>
  <c r="A7"/>
  <c r="A8"/>
  <c r="A9"/>
  <c r="A10"/>
  <c r="A11"/>
  <c r="A12"/>
  <c r="A13"/>
  <c r="A14"/>
  <c r="A15"/>
  <c r="A16"/>
  <c r="A17"/>
  <c r="A18"/>
  <c r="A19"/>
  <c r="A20"/>
  <c r="A21"/>
  <c r="A23"/>
  <c r="A24"/>
  <c r="F78" i="11"/>
  <c r="F52"/>
  <c r="H52"/>
  <c r="F74" i="16"/>
  <c r="H74" s="1"/>
  <c r="F72"/>
  <c r="F40" i="11"/>
  <c r="H40"/>
  <c r="F22" i="9"/>
  <c r="H22"/>
  <c r="F76" i="11"/>
  <c r="H76"/>
  <c r="F66"/>
  <c r="H66"/>
  <c r="F71"/>
  <c r="H71"/>
  <c r="F6"/>
  <c r="F36"/>
  <c r="H36" s="1"/>
  <c r="F72"/>
  <c r="F85"/>
  <c r="F83"/>
  <c r="H83" s="1"/>
  <c r="F95"/>
  <c r="H95" s="1"/>
  <c r="F91"/>
  <c r="H91" s="1"/>
  <c r="F37" i="16"/>
  <c r="F99"/>
  <c r="H99"/>
  <c r="F91"/>
  <c r="H91"/>
  <c r="F19" i="11"/>
  <c r="H19"/>
  <c r="F17"/>
  <c r="H17"/>
  <c r="F15"/>
  <c r="H15"/>
  <c r="F11"/>
  <c r="H11"/>
  <c r="F9"/>
  <c r="H9"/>
  <c r="F7" i="4"/>
  <c r="H7"/>
  <c r="F6"/>
  <c r="H6"/>
  <c r="F8"/>
  <c r="D16" i="16"/>
  <c r="F5" i="4"/>
  <c r="H5"/>
  <c r="F4"/>
  <c r="D21" i="16"/>
  <c r="D17"/>
  <c r="H17"/>
  <c r="D12"/>
  <c r="H4" i="3"/>
  <c r="F22"/>
  <c r="H22"/>
  <c r="E7" i="4"/>
  <c r="E30" i="11"/>
  <c r="E17" i="16"/>
  <c r="E17" i="11"/>
  <c r="G17" s="1"/>
  <c r="E9"/>
  <c r="G9" s="1"/>
  <c r="E9" i="16"/>
  <c r="G9" s="1"/>
  <c r="E4" i="11"/>
  <c r="C34" i="9"/>
  <c r="C4" i="10"/>
  <c r="G4" s="1"/>
  <c r="D34" i="9"/>
  <c r="D88"/>
  <c r="H80"/>
  <c r="D8" i="10"/>
  <c r="H8" s="1"/>
  <c r="D9"/>
  <c r="D55" i="9"/>
  <c r="G66" i="11"/>
  <c r="E8" i="4"/>
  <c r="G5" i="9"/>
  <c r="F9" i="16"/>
  <c r="F73"/>
  <c r="F92"/>
  <c r="H73" i="9"/>
  <c r="F100"/>
  <c r="F88"/>
  <c r="F54" i="11"/>
  <c r="F5" i="16"/>
  <c r="H5"/>
  <c r="F70" i="9"/>
  <c r="F21" i="11"/>
  <c r="H21" s="1"/>
  <c r="F21" i="16"/>
  <c r="F82"/>
  <c r="H82" s="1"/>
  <c r="F55" i="9"/>
  <c r="E8" i="11"/>
  <c r="G8"/>
  <c r="E12"/>
  <c r="G12"/>
  <c r="F93"/>
  <c r="H93"/>
  <c r="F93" i="16"/>
  <c r="H93" s="1"/>
  <c r="F86" i="11"/>
  <c r="H86" s="1"/>
  <c r="F86" i="16"/>
  <c r="F82" i="11"/>
  <c r="H82"/>
  <c r="F75"/>
  <c r="H75" s="1"/>
  <c r="F64"/>
  <c r="F67"/>
  <c r="H67"/>
  <c r="F68" i="16"/>
  <c r="F9" i="10"/>
  <c r="H9" s="1"/>
  <c r="F68" i="11"/>
  <c r="H68"/>
  <c r="F60"/>
  <c r="H60"/>
  <c r="F39" i="16"/>
  <c r="F31"/>
  <c r="F27" i="11"/>
  <c r="H27"/>
  <c r="F16"/>
  <c r="H16"/>
  <c r="F4" i="10"/>
  <c r="H4"/>
  <c r="F20" i="11"/>
  <c r="F12"/>
  <c r="E5"/>
  <c r="G5"/>
  <c r="E13" i="16"/>
  <c r="E20" i="11"/>
  <c r="G20"/>
  <c r="E16"/>
  <c r="G16"/>
  <c r="E7"/>
  <c r="G7"/>
  <c r="E5" i="16"/>
  <c r="E16"/>
  <c r="G16" s="1"/>
  <c r="E8" i="10"/>
  <c r="G8" s="1"/>
  <c r="C9"/>
  <c r="G9" s="1"/>
  <c r="D5"/>
  <c r="D100" i="9"/>
  <c r="E77" i="16"/>
  <c r="E72" i="11"/>
  <c r="G72" i="9"/>
  <c r="E70" i="3"/>
  <c r="C70" i="11"/>
  <c r="H77" i="9"/>
  <c r="E21" i="16"/>
  <c r="E21" i="11"/>
  <c r="G21"/>
  <c r="C22" i="9"/>
  <c r="C55"/>
  <c r="C70"/>
  <c r="C88"/>
  <c r="D70"/>
  <c r="E64" i="11"/>
  <c r="G64" s="1"/>
  <c r="G23" i="3"/>
  <c r="C27" i="16"/>
  <c r="E34" i="3"/>
  <c r="C34" i="11"/>
  <c r="E90" i="16"/>
  <c r="E88" i="9"/>
  <c r="E88" i="11"/>
  <c r="G88" s="1"/>
  <c r="E78"/>
  <c r="G78" s="1"/>
  <c r="E70" i="9"/>
  <c r="G70"/>
  <c r="G35"/>
  <c r="E23" i="16"/>
  <c r="E5" i="10"/>
  <c r="E6" i="16"/>
  <c r="C64"/>
  <c r="G64" s="1"/>
  <c r="D62"/>
  <c r="C94"/>
  <c r="E101" i="11"/>
  <c r="E102" i="9"/>
  <c r="E102" i="11"/>
  <c r="C74" i="16"/>
  <c r="G74"/>
  <c r="G56" i="3"/>
  <c r="C7" i="4"/>
  <c r="G7" s="1"/>
  <c r="G48" i="3"/>
  <c r="D9" i="4"/>
  <c r="H9"/>
  <c r="E22" i="3"/>
  <c r="H77"/>
  <c r="D36" i="16"/>
  <c r="H36"/>
  <c r="C97"/>
  <c r="G97"/>
  <c r="E88" i="3"/>
  <c r="C88" i="11"/>
  <c r="E55" i="3"/>
  <c r="G55"/>
  <c r="D97" i="16"/>
  <c r="H97"/>
  <c r="D63"/>
  <c r="H63"/>
  <c r="C57"/>
  <c r="G57"/>
  <c r="D14"/>
  <c r="D7"/>
  <c r="H7" s="1"/>
  <c r="C60"/>
  <c r="G60" s="1"/>
  <c r="D78"/>
  <c r="H78" s="1"/>
  <c r="D10"/>
  <c r="H10" s="1"/>
  <c r="G9" i="4"/>
  <c r="D39" i="16"/>
  <c r="D69"/>
  <c r="H69" s="1"/>
  <c r="D4"/>
  <c r="H4" s="1"/>
  <c r="C5"/>
  <c r="G5" s="1"/>
  <c r="G47" i="3"/>
  <c r="D38" i="16"/>
  <c r="C23"/>
  <c r="G23" s="1"/>
  <c r="D9"/>
  <c r="H9"/>
  <c r="D15"/>
  <c r="H15" s="1"/>
  <c r="E55"/>
  <c r="G55" i="9"/>
  <c r="G43" i="11"/>
  <c r="F23" i="16"/>
  <c r="F24"/>
  <c r="H24" s="1"/>
  <c r="F24" i="11"/>
  <c r="H24" s="1"/>
  <c r="H24" i="9"/>
  <c r="F25" i="16"/>
  <c r="H25" i="9"/>
  <c r="F25" i="11"/>
  <c r="F23"/>
  <c r="H23"/>
  <c r="F34" i="9"/>
  <c r="G77" i="3"/>
  <c r="D56" i="16"/>
  <c r="C21"/>
  <c r="D13"/>
  <c r="H13"/>
  <c r="E44"/>
  <c r="G44"/>
  <c r="E77" i="11"/>
  <c r="G77"/>
  <c r="F10" i="4"/>
  <c r="H25" i="11"/>
  <c r="G6" i="4"/>
  <c r="C96" i="16"/>
  <c r="G96" s="1"/>
  <c r="D89"/>
  <c r="H89" s="1"/>
  <c r="C20"/>
  <c r="G20" s="1"/>
  <c r="D102" i="11"/>
  <c r="D102" i="16"/>
  <c r="F47" i="3"/>
  <c r="D47" i="11"/>
  <c r="D101" i="16"/>
  <c r="H70" i="9"/>
  <c r="H62" i="16"/>
  <c r="H56"/>
  <c r="E102"/>
  <c r="G94"/>
  <c r="H12"/>
  <c r="H16"/>
  <c r="G63" i="11"/>
  <c r="G58" i="16"/>
  <c r="F34"/>
  <c r="H39"/>
  <c r="G52"/>
  <c r="H58"/>
  <c r="G81" i="11"/>
  <c r="G48" i="16"/>
  <c r="H97" i="11"/>
  <c r="H62"/>
  <c r="G62" i="16"/>
  <c r="G73" i="11"/>
  <c r="G69"/>
  <c r="G51"/>
  <c r="F100"/>
  <c r="H100" s="1"/>
  <c r="H41" i="16"/>
  <c r="G68"/>
  <c r="G41"/>
  <c r="G8"/>
  <c r="C69"/>
  <c r="G69"/>
  <c r="H87" i="11"/>
  <c r="H41"/>
  <c r="H14" i="16"/>
  <c r="H92" i="11"/>
  <c r="G97"/>
  <c r="H6"/>
  <c r="H12"/>
  <c r="H10"/>
  <c r="H20"/>
  <c r="H8"/>
  <c r="H28" i="16"/>
  <c r="H30"/>
  <c r="G30" i="11"/>
  <c r="G42"/>
  <c r="G36"/>
  <c r="H37"/>
  <c r="H38" i="16"/>
  <c r="G38" i="11"/>
  <c r="D50" i="16"/>
  <c r="H50" s="1"/>
  <c r="H58" i="11"/>
  <c r="D68" i="16"/>
  <c r="H68"/>
  <c r="H63" i="11"/>
  <c r="H64"/>
  <c r="G65"/>
  <c r="H72"/>
  <c r="H72" i="16"/>
  <c r="G75" i="11"/>
  <c r="H78"/>
  <c r="H81"/>
  <c r="D92" i="16"/>
  <c r="H98" i="11"/>
  <c r="G72"/>
  <c r="G67"/>
  <c r="G62"/>
  <c r="C61" i="16"/>
  <c r="G61" s="1"/>
  <c r="G50" i="11"/>
  <c r="G37"/>
  <c r="G40"/>
  <c r="G33"/>
  <c r="G32"/>
  <c r="G6" i="16"/>
  <c r="G21"/>
  <c r="G26" i="11"/>
  <c r="C44" i="16"/>
  <c r="G49" i="11"/>
  <c r="G56" i="16"/>
  <c r="G57" i="11"/>
  <c r="G66" i="16"/>
  <c r="C73"/>
  <c r="G73" s="1"/>
  <c r="G87" i="11"/>
  <c r="G83"/>
  <c r="G84"/>
  <c r="G80"/>
  <c r="G94"/>
  <c r="G98"/>
  <c r="G91"/>
  <c r="F77" i="16"/>
  <c r="H56" i="11"/>
  <c r="F77"/>
  <c r="H77" s="1"/>
  <c r="G27" i="16"/>
  <c r="H26"/>
  <c r="H52"/>
  <c r="H61"/>
  <c r="G35"/>
  <c r="G42"/>
  <c r="H19"/>
  <c r="G31"/>
  <c r="H92"/>
  <c r="H96" i="11"/>
  <c r="D100"/>
  <c r="G70" i="3"/>
  <c r="H70"/>
  <c r="C55" i="11"/>
  <c r="G34" i="3"/>
  <c r="G8" i="4"/>
  <c r="C17" i="16"/>
  <c r="G17"/>
  <c r="C15"/>
  <c r="G15" i="11"/>
  <c r="C13" i="16"/>
  <c r="G13" s="1"/>
  <c r="G13" i="11"/>
  <c r="G22" i="3"/>
  <c r="D79" i="16"/>
  <c r="H79" s="1"/>
  <c r="H88" i="3"/>
  <c r="D75" i="16"/>
  <c r="H75"/>
  <c r="D73"/>
  <c r="H73"/>
  <c r="H73" i="11"/>
  <c r="D33" i="16"/>
  <c r="H33" s="1"/>
  <c r="D31"/>
  <c r="H31" s="1"/>
  <c r="H31" i="11"/>
  <c r="H34" i="3"/>
  <c r="D22" i="11"/>
  <c r="D104" i="3"/>
  <c r="C104"/>
  <c r="H66"/>
  <c r="D8" i="4"/>
  <c r="D10" s="1"/>
  <c r="H10" s="1"/>
  <c r="C10"/>
  <c r="H8"/>
  <c r="H76" i="16"/>
  <c r="C90"/>
  <c r="G90"/>
  <c r="E10" i="4"/>
  <c r="G10"/>
  <c r="C19" i="16"/>
  <c r="G19" s="1"/>
  <c r="G19" i="11"/>
  <c r="E100" i="16"/>
  <c r="U100" i="34"/>
  <c r="Q100"/>
  <c r="M100"/>
  <c r="I100"/>
  <c r="W99"/>
  <c r="S99"/>
  <c r="K99"/>
  <c r="G99"/>
  <c r="U98"/>
  <c r="Q98"/>
  <c r="M98"/>
  <c r="I98"/>
  <c r="W97"/>
  <c r="S97"/>
  <c r="K97"/>
  <c r="G97"/>
  <c r="U96"/>
  <c r="Q96"/>
  <c r="M96"/>
  <c r="I96"/>
  <c r="W95"/>
  <c r="S95"/>
  <c r="K95"/>
  <c r="G95"/>
  <c r="U94"/>
  <c r="Q94"/>
  <c r="M94"/>
  <c r="I94"/>
  <c r="W92"/>
  <c r="S92"/>
  <c r="K92"/>
  <c r="G92"/>
  <c r="U91"/>
  <c r="Q91"/>
  <c r="M91"/>
  <c r="I91"/>
  <c r="W90"/>
  <c r="S90"/>
  <c r="K90"/>
  <c r="G90"/>
  <c r="U89"/>
  <c r="Q89"/>
  <c r="M89"/>
  <c r="I89"/>
  <c r="W88"/>
  <c r="S88"/>
  <c r="K88"/>
  <c r="G88"/>
  <c r="U87"/>
  <c r="Q87"/>
  <c r="M87"/>
  <c r="I87"/>
  <c r="W86"/>
  <c r="S86"/>
  <c r="K86"/>
  <c r="G86"/>
  <c r="U85"/>
  <c r="Q85"/>
  <c r="M85"/>
  <c r="I85"/>
  <c r="W84"/>
  <c r="S84"/>
  <c r="K84"/>
  <c r="G84"/>
  <c r="U83"/>
  <c r="Q83"/>
  <c r="M83"/>
  <c r="I83"/>
  <c r="W82"/>
  <c r="S82"/>
  <c r="K82"/>
  <c r="G82"/>
  <c r="U81"/>
  <c r="Q81"/>
  <c r="M81"/>
  <c r="I81"/>
  <c r="V79"/>
  <c r="R79"/>
  <c r="F79"/>
  <c r="T78"/>
  <c r="P78"/>
  <c r="L78"/>
  <c r="H78"/>
  <c r="D78"/>
  <c r="V77"/>
  <c r="R77"/>
  <c r="F77"/>
  <c r="T76"/>
  <c r="P76"/>
  <c r="L76"/>
  <c r="H76"/>
  <c r="D76"/>
  <c r="V75"/>
  <c r="R75"/>
  <c r="F75"/>
  <c r="T74"/>
  <c r="P74"/>
  <c r="L74"/>
  <c r="H74"/>
  <c r="D74"/>
  <c r="V73"/>
  <c r="R73"/>
  <c r="F73"/>
  <c r="T72"/>
  <c r="P72"/>
  <c r="L72"/>
  <c r="H72"/>
  <c r="D72"/>
  <c r="V71"/>
  <c r="R71"/>
  <c r="F71"/>
  <c r="T70"/>
  <c r="P70"/>
  <c r="L70"/>
  <c r="H70"/>
  <c r="D70"/>
  <c r="V69"/>
  <c r="R69"/>
  <c r="F69"/>
  <c r="T68"/>
  <c r="P68"/>
  <c r="L68"/>
  <c r="H68"/>
  <c r="D68"/>
  <c r="V67"/>
  <c r="R67"/>
  <c r="F67"/>
  <c r="T66"/>
  <c r="P66"/>
  <c r="L66"/>
  <c r="H66"/>
  <c r="D66"/>
  <c r="V65"/>
  <c r="R65"/>
  <c r="F65"/>
  <c r="T64"/>
  <c r="P64"/>
  <c r="L64"/>
  <c r="H64"/>
  <c r="D64"/>
  <c r="V63"/>
  <c r="R63"/>
  <c r="F63"/>
  <c r="T62"/>
  <c r="P62"/>
  <c r="L62"/>
  <c r="H62"/>
  <c r="D62"/>
  <c r="U60"/>
  <c r="Q60"/>
  <c r="M60"/>
  <c r="I60"/>
  <c r="W59"/>
  <c r="S59"/>
  <c r="K59"/>
  <c r="G59"/>
  <c r="U58"/>
  <c r="Q58"/>
  <c r="M58"/>
  <c r="I58"/>
  <c r="W57"/>
  <c r="S57"/>
  <c r="K57"/>
  <c r="G57"/>
  <c r="U56"/>
  <c r="Q56"/>
  <c r="M56"/>
  <c r="I56"/>
  <c r="W55"/>
  <c r="S55"/>
  <c r="K55"/>
  <c r="G55"/>
  <c r="T53"/>
  <c r="P53"/>
  <c r="L53"/>
  <c r="H53"/>
  <c r="D53"/>
  <c r="V52"/>
  <c r="R52"/>
  <c r="F52"/>
  <c r="T51"/>
  <c r="P51"/>
  <c r="L51"/>
  <c r="H51"/>
  <c r="D51"/>
  <c r="V50"/>
  <c r="R50"/>
  <c r="F50"/>
  <c r="T49"/>
  <c r="P49"/>
  <c r="L49"/>
  <c r="H49"/>
  <c r="D49"/>
  <c r="V48"/>
  <c r="R48"/>
  <c r="F48"/>
  <c r="T47"/>
  <c r="P47"/>
  <c r="L47"/>
  <c r="H47"/>
  <c r="D47"/>
  <c r="V46"/>
  <c r="R46"/>
  <c r="F46"/>
  <c r="T45"/>
  <c r="P45"/>
  <c r="L45"/>
  <c r="H45"/>
  <c r="D45"/>
  <c r="V44"/>
  <c r="R44"/>
  <c r="F44"/>
  <c r="W42"/>
  <c r="S42"/>
  <c r="K42"/>
  <c r="G42"/>
  <c r="U41"/>
  <c r="Q41"/>
  <c r="M41"/>
  <c r="I41"/>
  <c r="W40"/>
  <c r="S40"/>
  <c r="K40"/>
  <c r="G40"/>
  <c r="U39"/>
  <c r="Q39"/>
  <c r="M39"/>
  <c r="I39"/>
  <c r="W38"/>
  <c r="S38"/>
  <c r="K38"/>
  <c r="G38"/>
  <c r="U37"/>
  <c r="Q37"/>
  <c r="M37"/>
  <c r="I37"/>
  <c r="W36"/>
  <c r="S36"/>
  <c r="K36"/>
  <c r="G36"/>
  <c r="U35"/>
  <c r="Q35"/>
  <c r="M35"/>
  <c r="I35"/>
  <c r="W34"/>
  <c r="S34"/>
  <c r="K34"/>
  <c r="G34"/>
  <c r="U33"/>
  <c r="Q33"/>
  <c r="M33"/>
  <c r="I33"/>
  <c r="W32"/>
  <c r="S32"/>
  <c r="K32"/>
  <c r="G32"/>
  <c r="V100"/>
  <c r="R100"/>
  <c r="F100"/>
  <c r="T99"/>
  <c r="P99"/>
  <c r="L99"/>
  <c r="H99"/>
  <c r="D99"/>
  <c r="V98"/>
  <c r="R98"/>
  <c r="F98"/>
  <c r="T97"/>
  <c r="P97"/>
  <c r="L97"/>
  <c r="H97"/>
  <c r="D97"/>
  <c r="V96"/>
  <c r="R96"/>
  <c r="F96"/>
  <c r="T95"/>
  <c r="P95"/>
  <c r="L95"/>
  <c r="H95"/>
  <c r="D95"/>
  <c r="V94"/>
  <c r="R94"/>
  <c r="F94"/>
  <c r="T92"/>
  <c r="P92"/>
  <c r="L92"/>
  <c r="H92"/>
  <c r="D92"/>
  <c r="V91"/>
  <c r="R91"/>
  <c r="F91"/>
  <c r="T90"/>
  <c r="P90"/>
  <c r="L90"/>
  <c r="H90"/>
  <c r="D90"/>
  <c r="V89"/>
  <c r="R89"/>
  <c r="F89"/>
  <c r="T88"/>
  <c r="P88"/>
  <c r="L88"/>
  <c r="H88"/>
  <c r="D88"/>
  <c r="V87"/>
  <c r="R87"/>
  <c r="F87"/>
  <c r="T86"/>
  <c r="P86"/>
  <c r="L86"/>
  <c r="H86"/>
  <c r="D86"/>
  <c r="V85"/>
  <c r="R85"/>
  <c r="F85"/>
  <c r="T84"/>
  <c r="P84"/>
  <c r="L84"/>
  <c r="H84"/>
  <c r="D84"/>
  <c r="V83"/>
  <c r="R83"/>
  <c r="F83"/>
  <c r="T82"/>
  <c r="P82"/>
  <c r="L82"/>
  <c r="H82"/>
  <c r="D82"/>
  <c r="V81"/>
  <c r="R81"/>
  <c r="F81"/>
  <c r="W79"/>
  <c r="S79"/>
  <c r="K79"/>
  <c r="G79"/>
  <c r="U78"/>
  <c r="Q78"/>
  <c r="M78"/>
  <c r="I78"/>
  <c r="W77"/>
  <c r="S77"/>
  <c r="K77"/>
  <c r="G77"/>
  <c r="U76"/>
  <c r="Q76"/>
  <c r="M76"/>
  <c r="I76"/>
  <c r="W75"/>
  <c r="S75"/>
  <c r="K75"/>
  <c r="G75"/>
  <c r="U74"/>
  <c r="Q74"/>
  <c r="M74"/>
  <c r="I74"/>
  <c r="W73"/>
  <c r="S73"/>
  <c r="K73"/>
  <c r="G73"/>
  <c r="U72"/>
  <c r="Q72"/>
  <c r="M72"/>
  <c r="I72"/>
  <c r="W71"/>
  <c r="S71"/>
  <c r="K71"/>
  <c r="G71"/>
  <c r="U70"/>
  <c r="Q70"/>
  <c r="M70"/>
  <c r="I70"/>
  <c r="W69"/>
  <c r="S69"/>
  <c r="K69"/>
  <c r="G69"/>
  <c r="U68"/>
  <c r="Q68"/>
  <c r="M68"/>
  <c r="I68"/>
  <c r="W67"/>
  <c r="S67"/>
  <c r="K67"/>
  <c r="G67"/>
  <c r="U66"/>
  <c r="Q66"/>
  <c r="M66"/>
  <c r="I66"/>
  <c r="W65"/>
  <c r="S65"/>
  <c r="K65"/>
  <c r="G65"/>
  <c r="U64"/>
  <c r="Q64"/>
  <c r="M64"/>
  <c r="I64"/>
  <c r="W63"/>
  <c r="S63"/>
  <c r="K63"/>
  <c r="G63"/>
  <c r="U62"/>
  <c r="Q62"/>
  <c r="M62"/>
  <c r="I62"/>
  <c r="V60"/>
  <c r="R60"/>
  <c r="F60"/>
  <c r="T59"/>
  <c r="P59"/>
  <c r="L59"/>
  <c r="H59"/>
  <c r="D59"/>
  <c r="V58"/>
  <c r="R58"/>
  <c r="F58"/>
  <c r="T57"/>
  <c r="P57"/>
  <c r="L57"/>
  <c r="H57"/>
  <c r="D57"/>
  <c r="V56"/>
  <c r="R56"/>
  <c r="F56"/>
  <c r="T55"/>
  <c r="P55"/>
  <c r="L55"/>
  <c r="H55"/>
  <c r="D55"/>
  <c r="U53"/>
  <c r="Q53"/>
  <c r="M53"/>
  <c r="I53"/>
  <c r="W52"/>
  <c r="S52"/>
  <c r="K52"/>
  <c r="G52"/>
  <c r="U51"/>
  <c r="Q51"/>
  <c r="M51"/>
  <c r="I51"/>
  <c r="W50"/>
  <c r="S50"/>
  <c r="K50"/>
  <c r="G50"/>
  <c r="U49"/>
  <c r="Q49"/>
  <c r="M49"/>
  <c r="I49"/>
  <c r="W48"/>
  <c r="S48"/>
  <c r="K48"/>
  <c r="G48"/>
  <c r="U47"/>
  <c r="Q47"/>
  <c r="M47"/>
  <c r="I47"/>
  <c r="W46"/>
  <c r="S46"/>
  <c r="K46"/>
  <c r="G46"/>
  <c r="U45"/>
  <c r="Q45"/>
  <c r="M45"/>
  <c r="I45"/>
  <c r="W44"/>
  <c r="S44"/>
  <c r="K44"/>
  <c r="G44"/>
  <c r="T42"/>
  <c r="P42"/>
  <c r="L42"/>
  <c r="H42"/>
  <c r="D42"/>
  <c r="V41"/>
  <c r="R41"/>
  <c r="F41"/>
  <c r="T40"/>
  <c r="P40"/>
  <c r="L40"/>
  <c r="H40"/>
  <c r="D40"/>
  <c r="V39"/>
  <c r="R39"/>
  <c r="F39"/>
  <c r="T38"/>
  <c r="P38"/>
  <c r="L38"/>
  <c r="H38"/>
  <c r="D38"/>
  <c r="V37"/>
  <c r="R37"/>
  <c r="F37"/>
  <c r="T36"/>
  <c r="P36"/>
  <c r="L36"/>
  <c r="H36"/>
  <c r="D36"/>
  <c r="V35"/>
  <c r="R35"/>
  <c r="F35"/>
  <c r="T34"/>
  <c r="P34"/>
  <c r="L34"/>
  <c r="H34"/>
  <c r="D34"/>
  <c r="V33"/>
  <c r="R33"/>
  <c r="F33"/>
  <c r="T32"/>
  <c r="P32"/>
  <c r="L32"/>
  <c r="W100"/>
  <c r="S100"/>
  <c r="K100"/>
  <c r="G100"/>
  <c r="U99"/>
  <c r="Q99"/>
  <c r="M99"/>
  <c r="I99"/>
  <c r="W98"/>
  <c r="S98"/>
  <c r="K98"/>
  <c r="G98"/>
  <c r="U97"/>
  <c r="Q97"/>
  <c r="M97"/>
  <c r="I97"/>
  <c r="W96"/>
  <c r="S96"/>
  <c r="K96"/>
  <c r="G96"/>
  <c r="U95"/>
  <c r="Q95"/>
  <c r="M95"/>
  <c r="I95"/>
  <c r="W94"/>
  <c r="S94"/>
  <c r="K94"/>
  <c r="G94"/>
  <c r="U92"/>
  <c r="Q92"/>
  <c r="M92"/>
  <c r="I92"/>
  <c r="W91"/>
  <c r="S91"/>
  <c r="K91"/>
  <c r="G91"/>
  <c r="U90"/>
  <c r="Q90"/>
  <c r="M90"/>
  <c r="I90"/>
  <c r="W89"/>
  <c r="S89"/>
  <c r="K89"/>
  <c r="G89"/>
  <c r="U88"/>
  <c r="Q88"/>
  <c r="M88"/>
  <c r="I88"/>
  <c r="W87"/>
  <c r="S87"/>
  <c r="K87"/>
  <c r="G87"/>
  <c r="U86"/>
  <c r="Q86"/>
  <c r="M86"/>
  <c r="I86"/>
  <c r="W85"/>
  <c r="S85"/>
  <c r="K85"/>
  <c r="G85"/>
  <c r="U84"/>
  <c r="Q84"/>
  <c r="M84"/>
  <c r="I84"/>
  <c r="W83"/>
  <c r="S83"/>
  <c r="K83"/>
  <c r="G83"/>
  <c r="U82"/>
  <c r="Q82"/>
  <c r="M82"/>
  <c r="I82"/>
  <c r="W81"/>
  <c r="S81"/>
  <c r="K81"/>
  <c r="G81"/>
  <c r="T79"/>
  <c r="P79"/>
  <c r="L79"/>
  <c r="H79"/>
  <c r="D79"/>
  <c r="V78"/>
  <c r="R78"/>
  <c r="F78"/>
  <c r="T77"/>
  <c r="P77"/>
  <c r="L77"/>
  <c r="H77"/>
  <c r="D77"/>
  <c r="V76"/>
  <c r="R76"/>
  <c r="F76"/>
  <c r="T75"/>
  <c r="P75"/>
  <c r="L75"/>
  <c r="H75"/>
  <c r="D75"/>
  <c r="V74"/>
  <c r="R74"/>
  <c r="F74"/>
  <c r="T73"/>
  <c r="P73"/>
  <c r="L73"/>
  <c r="H73"/>
  <c r="D73"/>
  <c r="V72"/>
  <c r="R72"/>
  <c r="F72"/>
  <c r="T71"/>
  <c r="P71"/>
  <c r="L71"/>
  <c r="H71"/>
  <c r="D71"/>
  <c r="V70"/>
  <c r="R70"/>
  <c r="F70"/>
  <c r="T69"/>
  <c r="P69"/>
  <c r="L69"/>
  <c r="H69"/>
  <c r="D69"/>
  <c r="V68"/>
  <c r="R68"/>
  <c r="F68"/>
  <c r="T67"/>
  <c r="P67"/>
  <c r="L67"/>
  <c r="H67"/>
  <c r="D67"/>
  <c r="V66"/>
  <c r="R66"/>
  <c r="F66"/>
  <c r="T65"/>
  <c r="P65"/>
  <c r="L65"/>
  <c r="H65"/>
  <c r="D65"/>
  <c r="V64"/>
  <c r="R64"/>
  <c r="F64"/>
  <c r="T63"/>
  <c r="P63"/>
  <c r="L63"/>
  <c r="H63"/>
  <c r="D63"/>
  <c r="V62"/>
  <c r="R62"/>
  <c r="F62"/>
  <c r="W60"/>
  <c r="S60"/>
  <c r="K60"/>
  <c r="G60"/>
  <c r="U59"/>
  <c r="Q59"/>
  <c r="M59"/>
  <c r="I59"/>
  <c r="W58"/>
  <c r="S58"/>
  <c r="K58"/>
  <c r="G58"/>
  <c r="U57"/>
  <c r="Q57"/>
  <c r="M57"/>
  <c r="I57"/>
  <c r="W56"/>
  <c r="S56"/>
  <c r="K56"/>
  <c r="G56"/>
  <c r="U55"/>
  <c r="Q55"/>
  <c r="M55"/>
  <c r="I55"/>
  <c r="V53"/>
  <c r="R53"/>
  <c r="F53"/>
  <c r="T52"/>
  <c r="P52"/>
  <c r="L52"/>
  <c r="H52"/>
  <c r="D52"/>
  <c r="V51"/>
  <c r="R51"/>
  <c r="F51"/>
  <c r="T50"/>
  <c r="P50"/>
  <c r="L50"/>
  <c r="H50"/>
  <c r="D50"/>
  <c r="V49"/>
  <c r="R49"/>
  <c r="F49"/>
  <c r="T48"/>
  <c r="P48"/>
  <c r="L48"/>
  <c r="H48"/>
  <c r="D48"/>
  <c r="V47"/>
  <c r="R47"/>
  <c r="F47"/>
  <c r="T46"/>
  <c r="P46"/>
  <c r="L46"/>
  <c r="H46"/>
  <c r="D46"/>
  <c r="V45"/>
  <c r="R45"/>
  <c r="F45"/>
  <c r="T44"/>
  <c r="P44"/>
  <c r="L44"/>
  <c r="H44"/>
  <c r="D44"/>
  <c r="U42"/>
  <c r="Q42"/>
  <c r="M42"/>
  <c r="I42"/>
  <c r="W41"/>
  <c r="S41"/>
  <c r="K41"/>
  <c r="G41"/>
  <c r="U40"/>
  <c r="Q40"/>
  <c r="M40"/>
  <c r="I40"/>
  <c r="W39"/>
  <c r="S39"/>
  <c r="K39"/>
  <c r="G39"/>
  <c r="U38"/>
  <c r="Q38"/>
  <c r="M38"/>
  <c r="I38"/>
  <c r="W37"/>
  <c r="S37"/>
  <c r="K37"/>
  <c r="G37"/>
  <c r="U36"/>
  <c r="Q36"/>
  <c r="M36"/>
  <c r="I36"/>
  <c r="W35"/>
  <c r="S35"/>
  <c r="K35"/>
  <c r="G35"/>
  <c r="U34"/>
  <c r="Q34"/>
  <c r="M34"/>
  <c r="I34"/>
  <c r="W33"/>
  <c r="S33"/>
  <c r="K33"/>
  <c r="G33"/>
  <c r="U32"/>
  <c r="Q32"/>
  <c r="M32"/>
  <c r="T100"/>
  <c r="P100"/>
  <c r="L100"/>
  <c r="H100"/>
  <c r="D100"/>
  <c r="V99"/>
  <c r="R99"/>
  <c r="F99"/>
  <c r="T98"/>
  <c r="P98"/>
  <c r="L98"/>
  <c r="H98"/>
  <c r="D98"/>
  <c r="V97"/>
  <c r="R97"/>
  <c r="F97"/>
  <c r="T96"/>
  <c r="P96"/>
  <c r="L96"/>
  <c r="H96"/>
  <c r="D96"/>
  <c r="V95"/>
  <c r="R95"/>
  <c r="F95"/>
  <c r="T94"/>
  <c r="P94"/>
  <c r="L94"/>
  <c r="H94"/>
  <c r="D94"/>
  <c r="V92"/>
  <c r="R92"/>
  <c r="F92"/>
  <c r="T91"/>
  <c r="P91"/>
  <c r="L91"/>
  <c r="H91"/>
  <c r="D91"/>
  <c r="V90"/>
  <c r="R90"/>
  <c r="N90"/>
  <c r="F90"/>
  <c r="T89"/>
  <c r="P89"/>
  <c r="L89"/>
  <c r="H89"/>
  <c r="D89"/>
  <c r="V88"/>
  <c r="R88"/>
  <c r="F88"/>
  <c r="T87"/>
  <c r="P87"/>
  <c r="L87"/>
  <c r="H87"/>
  <c r="D87"/>
  <c r="V86"/>
  <c r="R86"/>
  <c r="F86"/>
  <c r="T85"/>
  <c r="P85"/>
  <c r="L85"/>
  <c r="H85"/>
  <c r="D85"/>
  <c r="V84"/>
  <c r="R84"/>
  <c r="F84"/>
  <c r="T83"/>
  <c r="P83"/>
  <c r="L83"/>
  <c r="H83"/>
  <c r="D83"/>
  <c r="V82"/>
  <c r="R82"/>
  <c r="F82"/>
  <c r="T81"/>
  <c r="P81"/>
  <c r="L81"/>
  <c r="H81"/>
  <c r="D81"/>
  <c r="U79"/>
  <c r="Q79"/>
  <c r="M79"/>
  <c r="I79"/>
  <c r="W78"/>
  <c r="S78"/>
  <c r="K78"/>
  <c r="G78"/>
  <c r="U77"/>
  <c r="Q77"/>
  <c r="M77"/>
  <c r="I77"/>
  <c r="W76"/>
  <c r="S76"/>
  <c r="K76"/>
  <c r="G76"/>
  <c r="U75"/>
  <c r="Q75"/>
  <c r="M75"/>
  <c r="I75"/>
  <c r="W74"/>
  <c r="S74"/>
  <c r="K74"/>
  <c r="G74"/>
  <c r="U73"/>
  <c r="Q73"/>
  <c r="M73"/>
  <c r="I73"/>
  <c r="W72"/>
  <c r="S72"/>
  <c r="K72"/>
  <c r="G72"/>
  <c r="U71"/>
  <c r="Q71"/>
  <c r="M71"/>
  <c r="I71"/>
  <c r="W70"/>
  <c r="S70"/>
  <c r="K70"/>
  <c r="G70"/>
  <c r="U69"/>
  <c r="Q69"/>
  <c r="M69"/>
  <c r="I69"/>
  <c r="W68"/>
  <c r="S68"/>
  <c r="K68"/>
  <c r="G68"/>
  <c r="U67"/>
  <c r="Q67"/>
  <c r="M67"/>
  <c r="I67"/>
  <c r="W66"/>
  <c r="S66"/>
  <c r="K66"/>
  <c r="G66"/>
  <c r="U65"/>
  <c r="Q65"/>
  <c r="M65"/>
  <c r="I65"/>
  <c r="W64"/>
  <c r="S64"/>
  <c r="K64"/>
  <c r="G64"/>
  <c r="U63"/>
  <c r="Q63"/>
  <c r="M63"/>
  <c r="I63"/>
  <c r="W62"/>
  <c r="S62"/>
  <c r="K62"/>
  <c r="G62"/>
  <c r="T60"/>
  <c r="P60"/>
  <c r="L60"/>
  <c r="H60"/>
  <c r="D60"/>
  <c r="V59"/>
  <c r="R59"/>
  <c r="F59"/>
  <c r="T58"/>
  <c r="P58"/>
  <c r="L58"/>
  <c r="H58"/>
  <c r="D58"/>
  <c r="V57"/>
  <c r="R57"/>
  <c r="F57"/>
  <c r="T56"/>
  <c r="P56"/>
  <c r="L56"/>
  <c r="H56"/>
  <c r="D56"/>
  <c r="V55"/>
  <c r="R55"/>
  <c r="F55"/>
  <c r="W53"/>
  <c r="S53"/>
  <c r="K53"/>
  <c r="G53"/>
  <c r="U52"/>
  <c r="Q52"/>
  <c r="M52"/>
  <c r="I52"/>
  <c r="W51"/>
  <c r="S51"/>
  <c r="K51"/>
  <c r="G51"/>
  <c r="U50"/>
  <c r="Q50"/>
  <c r="M50"/>
  <c r="I50"/>
  <c r="W49"/>
  <c r="S49"/>
  <c r="K49"/>
  <c r="G49"/>
  <c r="U48"/>
  <c r="Q48"/>
  <c r="M48"/>
  <c r="I48"/>
  <c r="W47"/>
  <c r="S47"/>
  <c r="K47"/>
  <c r="G47"/>
  <c r="U46"/>
  <c r="Q46"/>
  <c r="M46"/>
  <c r="I46"/>
  <c r="W45"/>
  <c r="S45"/>
  <c r="K45"/>
  <c r="G45"/>
  <c r="U44"/>
  <c r="Q44"/>
  <c r="M44"/>
  <c r="I44"/>
  <c r="V42"/>
  <c r="R42"/>
  <c r="F42"/>
  <c r="T41"/>
  <c r="P41"/>
  <c r="L41"/>
  <c r="H41"/>
  <c r="D41"/>
  <c r="V40"/>
  <c r="R40"/>
  <c r="F40"/>
  <c r="T39"/>
  <c r="P39"/>
  <c r="L39"/>
  <c r="H39"/>
  <c r="D39"/>
  <c r="V38"/>
  <c r="R38"/>
  <c r="F38"/>
  <c r="T37"/>
  <c r="P37"/>
  <c r="L37"/>
  <c r="H37"/>
  <c r="D37"/>
  <c r="V36"/>
  <c r="R36"/>
  <c r="F36"/>
  <c r="T35"/>
  <c r="P35"/>
  <c r="L35"/>
  <c r="H35"/>
  <c r="D35"/>
  <c r="V34"/>
  <c r="R34"/>
  <c r="F34"/>
  <c r="T33"/>
  <c r="P33"/>
  <c r="L33"/>
  <c r="H33"/>
  <c r="D33"/>
  <c r="V32"/>
  <c r="R32"/>
  <c r="F32"/>
  <c r="W30"/>
  <c r="S30"/>
  <c r="K30"/>
  <c r="G30"/>
  <c r="U29"/>
  <c r="Q29"/>
  <c r="M29"/>
  <c r="I29"/>
  <c r="W28"/>
  <c r="S28"/>
  <c r="K28"/>
  <c r="G28"/>
  <c r="U27"/>
  <c r="Q27"/>
  <c r="M27"/>
  <c r="I27"/>
  <c r="W26"/>
  <c r="S26"/>
  <c r="K26"/>
  <c r="G26"/>
  <c r="U25"/>
  <c r="Q25"/>
  <c r="M25"/>
  <c r="I25"/>
  <c r="W24"/>
  <c r="S24"/>
  <c r="K24"/>
  <c r="G24"/>
  <c r="U23"/>
  <c r="Q23"/>
  <c r="M23"/>
  <c r="I23"/>
  <c r="W22"/>
  <c r="S22"/>
  <c r="K22"/>
  <c r="G22"/>
  <c r="U21"/>
  <c r="Q21"/>
  <c r="M21"/>
  <c r="I21"/>
  <c r="U19"/>
  <c r="Q19"/>
  <c r="M19"/>
  <c r="I19"/>
  <c r="W18"/>
  <c r="S18"/>
  <c r="K18"/>
  <c r="G18"/>
  <c r="U17"/>
  <c r="Q17"/>
  <c r="M17"/>
  <c r="I17"/>
  <c r="V15"/>
  <c r="R15"/>
  <c r="F15"/>
  <c r="T14"/>
  <c r="P14"/>
  <c r="L14"/>
  <c r="H14"/>
  <c r="D14"/>
  <c r="V13"/>
  <c r="R13"/>
  <c r="F13"/>
  <c r="T12"/>
  <c r="P12"/>
  <c r="L12"/>
  <c r="H12"/>
  <c r="D12"/>
  <c r="V11"/>
  <c r="R11"/>
  <c r="F11"/>
  <c r="T10"/>
  <c r="P10"/>
  <c r="L10"/>
  <c r="H10"/>
  <c r="D10"/>
  <c r="V9"/>
  <c r="R9"/>
  <c r="F9"/>
  <c r="T8"/>
  <c r="P8"/>
  <c r="L8"/>
  <c r="H8"/>
  <c r="D8"/>
  <c r="V7"/>
  <c r="R7"/>
  <c r="F7"/>
  <c r="T6"/>
  <c r="P6"/>
  <c r="L6"/>
  <c r="H6"/>
  <c r="D6"/>
  <c r="V5"/>
  <c r="R5"/>
  <c r="F5"/>
  <c r="W3"/>
  <c r="S3"/>
  <c r="K3"/>
  <c r="G3"/>
  <c r="H32"/>
  <c r="T30"/>
  <c r="P30"/>
  <c r="L30"/>
  <c r="H30"/>
  <c r="D30"/>
  <c r="V29"/>
  <c r="R29"/>
  <c r="F29"/>
  <c r="T28"/>
  <c r="P28"/>
  <c r="L28"/>
  <c r="H28"/>
  <c r="D28"/>
  <c r="V27"/>
  <c r="R27"/>
  <c r="F27"/>
  <c r="T26"/>
  <c r="P26"/>
  <c r="L26"/>
  <c r="H26"/>
  <c r="D26"/>
  <c r="V25"/>
  <c r="R25"/>
  <c r="F25"/>
  <c r="T24"/>
  <c r="P24"/>
  <c r="L24"/>
  <c r="H24"/>
  <c r="D24"/>
  <c r="V23"/>
  <c r="R23"/>
  <c r="F23"/>
  <c r="T22"/>
  <c r="P22"/>
  <c r="L22"/>
  <c r="H22"/>
  <c r="D22"/>
  <c r="V21"/>
  <c r="R21"/>
  <c r="F21"/>
  <c r="V19"/>
  <c r="R19"/>
  <c r="F19"/>
  <c r="T18"/>
  <c r="P18"/>
  <c r="L18"/>
  <c r="H18"/>
  <c r="D18"/>
  <c r="V17"/>
  <c r="R17"/>
  <c r="F17"/>
  <c r="W15"/>
  <c r="S15"/>
  <c r="K15"/>
  <c r="G15"/>
  <c r="U14"/>
  <c r="Q14"/>
  <c r="M14"/>
  <c r="I14"/>
  <c r="W13"/>
  <c r="S13"/>
  <c r="K13"/>
  <c r="G13"/>
  <c r="U12"/>
  <c r="Q12"/>
  <c r="M12"/>
  <c r="I12"/>
  <c r="W11"/>
  <c r="S11"/>
  <c r="K11"/>
  <c r="G11"/>
  <c r="U10"/>
  <c r="Q10"/>
  <c r="M10"/>
  <c r="I10"/>
  <c r="W9"/>
  <c r="S9"/>
  <c r="K9"/>
  <c r="G9"/>
  <c r="U8"/>
  <c r="Q8"/>
  <c r="M8"/>
  <c r="I8"/>
  <c r="W7"/>
  <c r="S7"/>
  <c r="K7"/>
  <c r="G7"/>
  <c r="U6"/>
  <c r="Q6"/>
  <c r="M6"/>
  <c r="I6"/>
  <c r="W5"/>
  <c r="S5"/>
  <c r="K5"/>
  <c r="G5"/>
  <c r="T3"/>
  <c r="P3"/>
  <c r="L3"/>
  <c r="H3"/>
  <c r="D3"/>
  <c r="I32"/>
  <c r="D32"/>
  <c r="U30"/>
  <c r="Q30"/>
  <c r="M30"/>
  <c r="I30"/>
  <c r="W29"/>
  <c r="S29"/>
  <c r="K29"/>
  <c r="G29"/>
  <c r="U28"/>
  <c r="Q28"/>
  <c r="M28"/>
  <c r="I28"/>
  <c r="W27"/>
  <c r="S27"/>
  <c r="K27"/>
  <c r="G27"/>
  <c r="U26"/>
  <c r="Q26"/>
  <c r="M26"/>
  <c r="I26"/>
  <c r="W25"/>
  <c r="S25"/>
  <c r="K25"/>
  <c r="G25"/>
  <c r="U24"/>
  <c r="Q24"/>
  <c r="M24"/>
  <c r="I24"/>
  <c r="W23"/>
  <c r="S23"/>
  <c r="K23"/>
  <c r="G23"/>
  <c r="U22"/>
  <c r="Q22"/>
  <c r="M22"/>
  <c r="I22"/>
  <c r="W21"/>
  <c r="S21"/>
  <c r="K21"/>
  <c r="G21"/>
  <c r="W19"/>
  <c r="S19"/>
  <c r="K19"/>
  <c r="G19"/>
  <c r="U18"/>
  <c r="Q18"/>
  <c r="M18"/>
  <c r="I18"/>
  <c r="W17"/>
  <c r="S17"/>
  <c r="K17"/>
  <c r="G17"/>
  <c r="T15"/>
  <c r="P15"/>
  <c r="L15"/>
  <c r="H15"/>
  <c r="D15"/>
  <c r="V14"/>
  <c r="R14"/>
  <c r="F14"/>
  <c r="T13"/>
  <c r="P13"/>
  <c r="L13"/>
  <c r="H13"/>
  <c r="D13"/>
  <c r="V12"/>
  <c r="R12"/>
  <c r="F12"/>
  <c r="T11"/>
  <c r="P11"/>
  <c r="L11"/>
  <c r="H11"/>
  <c r="D11"/>
  <c r="V10"/>
  <c r="R10"/>
  <c r="F10"/>
  <c r="T9"/>
  <c r="P9"/>
  <c r="L9"/>
  <c r="H9"/>
  <c r="D9"/>
  <c r="V8"/>
  <c r="R8"/>
  <c r="F8"/>
  <c r="T7"/>
  <c r="P7"/>
  <c r="L7"/>
  <c r="H7"/>
  <c r="D7"/>
  <c r="V6"/>
  <c r="R6"/>
  <c r="F6"/>
  <c r="T5"/>
  <c r="P5"/>
  <c r="L5"/>
  <c r="H5"/>
  <c r="D5"/>
  <c r="U3"/>
  <c r="Q3"/>
  <c r="M3"/>
  <c r="I3"/>
  <c r="V30"/>
  <c r="R30"/>
  <c r="F30"/>
  <c r="T29"/>
  <c r="P29"/>
  <c r="L29"/>
  <c r="H29"/>
  <c r="D29"/>
  <c r="V28"/>
  <c r="R28"/>
  <c r="F28"/>
  <c r="T27"/>
  <c r="P27"/>
  <c r="L27"/>
  <c r="H27"/>
  <c r="D27"/>
  <c r="V26"/>
  <c r="R26"/>
  <c r="F26"/>
  <c r="T25"/>
  <c r="P25"/>
  <c r="L25"/>
  <c r="H25"/>
  <c r="D25"/>
  <c r="V24"/>
  <c r="R24"/>
  <c r="F24"/>
  <c r="T23"/>
  <c r="P23"/>
  <c r="L23"/>
  <c r="H23"/>
  <c r="D23"/>
  <c r="V22"/>
  <c r="R22"/>
  <c r="F22"/>
  <c r="T21"/>
  <c r="P21"/>
  <c r="L21"/>
  <c r="H21"/>
  <c r="D21"/>
  <c r="T19"/>
  <c r="P19"/>
  <c r="L19"/>
  <c r="H19"/>
  <c r="D19"/>
  <c r="V18"/>
  <c r="R18"/>
  <c r="F18"/>
  <c r="T17"/>
  <c r="P17"/>
  <c r="L17"/>
  <c r="H17"/>
  <c r="D17"/>
  <c r="U15"/>
  <c r="Q15"/>
  <c r="M15"/>
  <c r="I15"/>
  <c r="W14"/>
  <c r="S14"/>
  <c r="K14"/>
  <c r="G14"/>
  <c r="U13"/>
  <c r="Q13"/>
  <c r="M13"/>
  <c r="I13"/>
  <c r="W12"/>
  <c r="S12"/>
  <c r="K12"/>
  <c r="G12"/>
  <c r="U11"/>
  <c r="Q11"/>
  <c r="M11"/>
  <c r="I11"/>
  <c r="W10"/>
  <c r="S10"/>
  <c r="K10"/>
  <c r="G10"/>
  <c r="U9"/>
  <c r="Q9"/>
  <c r="M9"/>
  <c r="I9"/>
  <c r="W8"/>
  <c r="S8"/>
  <c r="K8"/>
  <c r="G8"/>
  <c r="U7"/>
  <c r="Q7"/>
  <c r="M7"/>
  <c r="I7"/>
  <c r="W6"/>
  <c r="S6"/>
  <c r="K6"/>
  <c r="G6"/>
  <c r="U5"/>
  <c r="Q5"/>
  <c r="M5"/>
  <c r="I5"/>
  <c r="V3"/>
  <c r="R3"/>
  <c r="F3"/>
  <c r="H34" i="9"/>
  <c r="C10" i="10"/>
  <c r="F47" i="11"/>
  <c r="H47" s="1"/>
  <c r="H47" i="9"/>
  <c r="F88" i="11"/>
  <c r="H88" s="1"/>
  <c r="F88" i="16"/>
  <c r="F70" i="11"/>
  <c r="H70"/>
  <c r="F10" i="10"/>
  <c r="H61" i="11"/>
  <c r="F70" i="16"/>
  <c r="F100"/>
  <c r="H100" i="9"/>
  <c r="D103"/>
  <c r="F103"/>
  <c r="H88"/>
  <c r="G88"/>
  <c r="G77"/>
  <c r="D10" i="10"/>
  <c r="F55" i="11"/>
  <c r="H55" s="1"/>
  <c r="H55" i="9"/>
  <c r="C103"/>
  <c r="H21" i="16"/>
  <c r="H5" i="10"/>
  <c r="E10"/>
  <c r="G10"/>
  <c r="F4" i="34"/>
  <c r="E3"/>
  <c r="E4"/>
  <c r="R4"/>
  <c r="V4"/>
  <c r="I16"/>
  <c r="M16"/>
  <c r="Q16"/>
  <c r="U16"/>
  <c r="J6"/>
  <c r="Y6"/>
  <c r="J8"/>
  <c r="J10"/>
  <c r="X10"/>
  <c r="Y10"/>
  <c r="J12"/>
  <c r="Z12"/>
  <c r="J14"/>
  <c r="Y14"/>
  <c r="D31"/>
  <c r="H31"/>
  <c r="L31"/>
  <c r="P31"/>
  <c r="N31"/>
  <c r="N17"/>
  <c r="AC17"/>
  <c r="O17"/>
  <c r="T31"/>
  <c r="E18"/>
  <c r="N19"/>
  <c r="AC19"/>
  <c r="O19"/>
  <c r="X21"/>
  <c r="N21"/>
  <c r="AC21"/>
  <c r="O21"/>
  <c r="E22"/>
  <c r="AC23"/>
  <c r="N23"/>
  <c r="O23"/>
  <c r="E24"/>
  <c r="N25"/>
  <c r="AC25"/>
  <c r="O25"/>
  <c r="E26"/>
  <c r="Z27"/>
  <c r="AB27"/>
  <c r="AC27"/>
  <c r="X27"/>
  <c r="N27"/>
  <c r="O27"/>
  <c r="E28"/>
  <c r="X29"/>
  <c r="N29"/>
  <c r="AC29"/>
  <c r="O29"/>
  <c r="E30"/>
  <c r="I4"/>
  <c r="M4"/>
  <c r="Q4"/>
  <c r="U4"/>
  <c r="Z5"/>
  <c r="AB5"/>
  <c r="D16"/>
  <c r="H16"/>
  <c r="L16"/>
  <c r="N5"/>
  <c r="AC5"/>
  <c r="P16"/>
  <c r="O5"/>
  <c r="T16"/>
  <c r="E6"/>
  <c r="AC7"/>
  <c r="X7"/>
  <c r="N7"/>
  <c r="O7"/>
  <c r="E8"/>
  <c r="N9"/>
  <c r="AC9"/>
  <c r="O9"/>
  <c r="E10"/>
  <c r="AC11"/>
  <c r="N11"/>
  <c r="O11"/>
  <c r="E12"/>
  <c r="N13"/>
  <c r="AC13"/>
  <c r="O13"/>
  <c r="E14"/>
  <c r="AC15"/>
  <c r="X15"/>
  <c r="N15"/>
  <c r="O15"/>
  <c r="G31"/>
  <c r="J17"/>
  <c r="Z17"/>
  <c r="K31"/>
  <c r="S31"/>
  <c r="W31"/>
  <c r="J19"/>
  <c r="X19"/>
  <c r="Y19"/>
  <c r="J21"/>
  <c r="Z21"/>
  <c r="Y21"/>
  <c r="J23"/>
  <c r="X23"/>
  <c r="Y23"/>
  <c r="J25"/>
  <c r="Z25"/>
  <c r="J27"/>
  <c r="AD27"/>
  <c r="Y27"/>
  <c r="J29"/>
  <c r="Z29"/>
  <c r="Y29"/>
  <c r="D43"/>
  <c r="I43"/>
  <c r="D4"/>
  <c r="H4"/>
  <c r="L4"/>
  <c r="P4"/>
  <c r="O3"/>
  <c r="O4"/>
  <c r="N3"/>
  <c r="AC3"/>
  <c r="T4"/>
  <c r="G16"/>
  <c r="K16"/>
  <c r="J5"/>
  <c r="X5"/>
  <c r="Y5"/>
  <c r="S16"/>
  <c r="W16"/>
  <c r="AD5"/>
  <c r="J7"/>
  <c r="Z7"/>
  <c r="Y7"/>
  <c r="J9"/>
  <c r="X9"/>
  <c r="Y9"/>
  <c r="J11"/>
  <c r="X11"/>
  <c r="Y11"/>
  <c r="J13"/>
  <c r="Z13"/>
  <c r="J15"/>
  <c r="Z15"/>
  <c r="Y15"/>
  <c r="E17"/>
  <c r="F31"/>
  <c r="R31"/>
  <c r="V31"/>
  <c r="O18"/>
  <c r="N18"/>
  <c r="AC18"/>
  <c r="E19"/>
  <c r="E21"/>
  <c r="X22"/>
  <c r="O22"/>
  <c r="N22"/>
  <c r="AC22"/>
  <c r="E23"/>
  <c r="X24"/>
  <c r="Z24"/>
  <c r="AB24"/>
  <c r="O24"/>
  <c r="N24"/>
  <c r="AC24"/>
  <c r="E25"/>
  <c r="O26"/>
  <c r="N26"/>
  <c r="AC26"/>
  <c r="E27"/>
  <c r="O28"/>
  <c r="N28"/>
  <c r="AC28"/>
  <c r="E29"/>
  <c r="X30"/>
  <c r="O30"/>
  <c r="N30"/>
  <c r="AC30"/>
  <c r="H43"/>
  <c r="G4"/>
  <c r="K4"/>
  <c r="J3"/>
  <c r="J4"/>
  <c r="S4"/>
  <c r="W4"/>
  <c r="F16"/>
  <c r="E5"/>
  <c r="R16"/>
  <c r="V16"/>
  <c r="X6"/>
  <c r="N6"/>
  <c r="AC6"/>
  <c r="O6"/>
  <c r="E7"/>
  <c r="AC8"/>
  <c r="X8"/>
  <c r="Y8"/>
  <c r="Z8"/>
  <c r="AB8"/>
  <c r="N8"/>
  <c r="O8"/>
  <c r="E9"/>
  <c r="N10"/>
  <c r="AC10"/>
  <c r="O10"/>
  <c r="E11"/>
  <c r="AC12"/>
  <c r="X12"/>
  <c r="Y12"/>
  <c r="N12"/>
  <c r="O12"/>
  <c r="E13"/>
  <c r="X14"/>
  <c r="N14"/>
  <c r="AC14"/>
  <c r="O14"/>
  <c r="E15"/>
  <c r="I31"/>
  <c r="M31"/>
  <c r="Q31"/>
  <c r="U31"/>
  <c r="J18"/>
  <c r="Z18"/>
  <c r="J22"/>
  <c r="Z22"/>
  <c r="Y22"/>
  <c r="J24"/>
  <c r="Y24"/>
  <c r="J26"/>
  <c r="X26"/>
  <c r="Y26"/>
  <c r="J28"/>
  <c r="Z28"/>
  <c r="J30"/>
  <c r="Z30"/>
  <c r="Y30"/>
  <c r="F43"/>
  <c r="E32"/>
  <c r="R43"/>
  <c r="V43"/>
  <c r="X33"/>
  <c r="N33"/>
  <c r="Z33"/>
  <c r="O33"/>
  <c r="E34"/>
  <c r="Z35"/>
  <c r="AB35"/>
  <c r="AC35"/>
  <c r="N35"/>
  <c r="O35"/>
  <c r="E36"/>
  <c r="N37"/>
  <c r="AC37"/>
  <c r="O37"/>
  <c r="E38"/>
  <c r="AC39"/>
  <c r="N39"/>
  <c r="O39"/>
  <c r="E40"/>
  <c r="X41"/>
  <c r="N41"/>
  <c r="Z41"/>
  <c r="O41"/>
  <c r="E42"/>
  <c r="I54"/>
  <c r="M54"/>
  <c r="Q54"/>
  <c r="U54"/>
  <c r="J45"/>
  <c r="J47"/>
  <c r="J49"/>
  <c r="J51"/>
  <c r="Z51"/>
  <c r="J53"/>
  <c r="F61"/>
  <c r="E55"/>
  <c r="R61"/>
  <c r="V61"/>
  <c r="AC56"/>
  <c r="N56"/>
  <c r="O56"/>
  <c r="E57"/>
  <c r="N58"/>
  <c r="AC58"/>
  <c r="O58"/>
  <c r="E59"/>
  <c r="AC60"/>
  <c r="X60"/>
  <c r="N60"/>
  <c r="O60"/>
  <c r="G80"/>
  <c r="K80"/>
  <c r="J62"/>
  <c r="S80"/>
  <c r="W80"/>
  <c r="J64"/>
  <c r="AD64"/>
  <c r="J66"/>
  <c r="X66"/>
  <c r="Y66"/>
  <c r="J68"/>
  <c r="Z68"/>
  <c r="J70"/>
  <c r="X70"/>
  <c r="Y70"/>
  <c r="J72"/>
  <c r="AD72"/>
  <c r="J74"/>
  <c r="X74"/>
  <c r="Y74"/>
  <c r="J76"/>
  <c r="Z76"/>
  <c r="J78"/>
  <c r="X78"/>
  <c r="Y78"/>
  <c r="D93"/>
  <c r="AC81"/>
  <c r="H93"/>
  <c r="L93"/>
  <c r="P93"/>
  <c r="N81"/>
  <c r="O81"/>
  <c r="T93"/>
  <c r="E82"/>
  <c r="X83"/>
  <c r="N83"/>
  <c r="AC83"/>
  <c r="O83"/>
  <c r="E84"/>
  <c r="AC85"/>
  <c r="N85"/>
  <c r="O85"/>
  <c r="E86"/>
  <c r="N87"/>
  <c r="AC87"/>
  <c r="O87"/>
  <c r="E88"/>
  <c r="Z89"/>
  <c r="AB89"/>
  <c r="AC89"/>
  <c r="X89"/>
  <c r="N89"/>
  <c r="O89"/>
  <c r="E90"/>
  <c r="X91"/>
  <c r="N91"/>
  <c r="AC91"/>
  <c r="O91"/>
  <c r="E92"/>
  <c r="Z94"/>
  <c r="AB94"/>
  <c r="D101"/>
  <c r="H101"/>
  <c r="L101"/>
  <c r="N94"/>
  <c r="P101"/>
  <c r="O94"/>
  <c r="T101"/>
  <c r="E95"/>
  <c r="AC96"/>
  <c r="N96"/>
  <c r="O96"/>
  <c r="E97"/>
  <c r="N98"/>
  <c r="Z98"/>
  <c r="O98"/>
  <c r="E99"/>
  <c r="AC100"/>
  <c r="X100"/>
  <c r="N100"/>
  <c r="O100"/>
  <c r="M43"/>
  <c r="Q43"/>
  <c r="U43"/>
  <c r="J33"/>
  <c r="Y33"/>
  <c r="J35"/>
  <c r="X35"/>
  <c r="Y35"/>
  <c r="J37"/>
  <c r="Z37"/>
  <c r="J39"/>
  <c r="X39"/>
  <c r="Y39"/>
  <c r="J41"/>
  <c r="Y41"/>
  <c r="D54"/>
  <c r="H54"/>
  <c r="L54"/>
  <c r="N44"/>
  <c r="AC44"/>
  <c r="O44"/>
  <c r="P54"/>
  <c r="N54"/>
  <c r="T54"/>
  <c r="E45"/>
  <c r="N46"/>
  <c r="Z46"/>
  <c r="O46"/>
  <c r="E47"/>
  <c r="AC48"/>
  <c r="X48"/>
  <c r="N48"/>
  <c r="O48"/>
  <c r="E49"/>
  <c r="N50"/>
  <c r="AC50"/>
  <c r="O50"/>
  <c r="E51"/>
  <c r="AC52"/>
  <c r="N52"/>
  <c r="O52"/>
  <c r="E53"/>
  <c r="I61"/>
  <c r="M61"/>
  <c r="Q61"/>
  <c r="U61"/>
  <c r="J56"/>
  <c r="X56"/>
  <c r="Y56"/>
  <c r="J58"/>
  <c r="Z58"/>
  <c r="J60"/>
  <c r="Z60"/>
  <c r="Y60"/>
  <c r="E62"/>
  <c r="F80"/>
  <c r="R80"/>
  <c r="V80"/>
  <c r="X63"/>
  <c r="N63"/>
  <c r="AC63"/>
  <c r="O63"/>
  <c r="E64"/>
  <c r="AC65"/>
  <c r="N65"/>
  <c r="O65"/>
  <c r="E66"/>
  <c r="N67"/>
  <c r="AC67"/>
  <c r="O67"/>
  <c r="E68"/>
  <c r="Z69"/>
  <c r="AB69"/>
  <c r="AC69"/>
  <c r="X69"/>
  <c r="N69"/>
  <c r="O69"/>
  <c r="E70"/>
  <c r="X71"/>
  <c r="N71"/>
  <c r="AC71"/>
  <c r="O71"/>
  <c r="E72"/>
  <c r="AC73"/>
  <c r="N73"/>
  <c r="O73"/>
  <c r="E74"/>
  <c r="N75"/>
  <c r="AC75"/>
  <c r="O75"/>
  <c r="E76"/>
  <c r="Z77"/>
  <c r="AB77"/>
  <c r="AC77"/>
  <c r="X77"/>
  <c r="N77"/>
  <c r="O77"/>
  <c r="E78"/>
  <c r="X79"/>
  <c r="N79"/>
  <c r="AC79"/>
  <c r="O79"/>
  <c r="G93"/>
  <c r="J81"/>
  <c r="K93"/>
  <c r="S93"/>
  <c r="W93"/>
  <c r="J83"/>
  <c r="Z83"/>
  <c r="Y83"/>
  <c r="J85"/>
  <c r="X85"/>
  <c r="Y85"/>
  <c r="J87"/>
  <c r="Z87"/>
  <c r="J89"/>
  <c r="AD89"/>
  <c r="Y89"/>
  <c r="J91"/>
  <c r="Z91"/>
  <c r="Y91"/>
  <c r="G101"/>
  <c r="K101"/>
  <c r="J94"/>
  <c r="S101"/>
  <c r="AD94"/>
  <c r="W101"/>
  <c r="J96"/>
  <c r="X96"/>
  <c r="Y96"/>
  <c r="J98"/>
  <c r="X98"/>
  <c r="Y98"/>
  <c r="J100"/>
  <c r="Z100"/>
  <c r="Y100"/>
  <c r="L43"/>
  <c r="P43"/>
  <c r="O32"/>
  <c r="N32"/>
  <c r="AC32"/>
  <c r="T43"/>
  <c r="E33"/>
  <c r="O34"/>
  <c r="N34"/>
  <c r="AC34"/>
  <c r="E35"/>
  <c r="X36"/>
  <c r="O36"/>
  <c r="N36"/>
  <c r="AC36"/>
  <c r="E37"/>
  <c r="X38"/>
  <c r="Z38"/>
  <c r="AB38"/>
  <c r="O38"/>
  <c r="N38"/>
  <c r="AC38"/>
  <c r="E39"/>
  <c r="AC40"/>
  <c r="O40"/>
  <c r="N40"/>
  <c r="E41"/>
  <c r="O42"/>
  <c r="N42"/>
  <c r="AC42"/>
  <c r="G54"/>
  <c r="J44"/>
  <c r="X44"/>
  <c r="Y44"/>
  <c r="K54"/>
  <c r="S54"/>
  <c r="W54"/>
  <c r="J46"/>
  <c r="X46"/>
  <c r="Y46"/>
  <c r="J48"/>
  <c r="Z48"/>
  <c r="Y48"/>
  <c r="J50"/>
  <c r="X50"/>
  <c r="Y50"/>
  <c r="J52"/>
  <c r="X52"/>
  <c r="Y52"/>
  <c r="X55"/>
  <c r="Y55"/>
  <c r="D61"/>
  <c r="H61"/>
  <c r="L61"/>
  <c r="O55"/>
  <c r="P61"/>
  <c r="N61"/>
  <c r="N55"/>
  <c r="AC55"/>
  <c r="T61"/>
  <c r="E56"/>
  <c r="Z57"/>
  <c r="AB57"/>
  <c r="O57"/>
  <c r="N57"/>
  <c r="AC57"/>
  <c r="E58"/>
  <c r="X59"/>
  <c r="O59"/>
  <c r="N59"/>
  <c r="AC59"/>
  <c r="E60"/>
  <c r="I80"/>
  <c r="M80"/>
  <c r="Q80"/>
  <c r="U80"/>
  <c r="J63"/>
  <c r="Z63"/>
  <c r="Y63"/>
  <c r="J65"/>
  <c r="X65"/>
  <c r="Y65"/>
  <c r="J67"/>
  <c r="X67"/>
  <c r="Y67"/>
  <c r="J69"/>
  <c r="AD69"/>
  <c r="Y69"/>
  <c r="J71"/>
  <c r="Z71"/>
  <c r="Y71"/>
  <c r="J73"/>
  <c r="Z73"/>
  <c r="J75"/>
  <c r="Z75"/>
  <c r="J77"/>
  <c r="AD77"/>
  <c r="Y77"/>
  <c r="J79"/>
  <c r="Z79"/>
  <c r="Y79"/>
  <c r="E81"/>
  <c r="F93"/>
  <c r="R93"/>
  <c r="V93"/>
  <c r="O82"/>
  <c r="N82"/>
  <c r="AC82"/>
  <c r="E83"/>
  <c r="X84"/>
  <c r="Y84"/>
  <c r="Z84"/>
  <c r="AB84"/>
  <c r="O84"/>
  <c r="N84"/>
  <c r="AC84"/>
  <c r="E85"/>
  <c r="AC86"/>
  <c r="O86"/>
  <c r="N86"/>
  <c r="E87"/>
  <c r="X88"/>
  <c r="Y88"/>
  <c r="O88"/>
  <c r="N88"/>
  <c r="AC88"/>
  <c r="E89"/>
  <c r="AC90"/>
  <c r="O90"/>
  <c r="E91"/>
  <c r="Z92"/>
  <c r="AB92"/>
  <c r="O92"/>
  <c r="N92"/>
  <c r="AC92"/>
  <c r="F101"/>
  <c r="E94"/>
  <c r="R101"/>
  <c r="V101"/>
  <c r="X95"/>
  <c r="Z95"/>
  <c r="AB95"/>
  <c r="O95"/>
  <c r="N95"/>
  <c r="AC95"/>
  <c r="E96"/>
  <c r="AC97"/>
  <c r="O97"/>
  <c r="N97"/>
  <c r="E98"/>
  <c r="O99"/>
  <c r="N99"/>
  <c r="AC99"/>
  <c r="E100"/>
  <c r="G43"/>
  <c r="K43"/>
  <c r="J32"/>
  <c r="S43"/>
  <c r="W43"/>
  <c r="J34"/>
  <c r="Z34"/>
  <c r="J36"/>
  <c r="Z36"/>
  <c r="Y36"/>
  <c r="J38"/>
  <c r="Y38"/>
  <c r="J40"/>
  <c r="Z40"/>
  <c r="J42"/>
  <c r="X42"/>
  <c r="Y42"/>
  <c r="F54"/>
  <c r="E44"/>
  <c r="R54"/>
  <c r="V54"/>
  <c r="X45"/>
  <c r="Y45"/>
  <c r="Z45"/>
  <c r="AB45"/>
  <c r="N45"/>
  <c r="AC45"/>
  <c r="O45"/>
  <c r="E46"/>
  <c r="X47"/>
  <c r="Y47"/>
  <c r="N47"/>
  <c r="AC47"/>
  <c r="O47"/>
  <c r="E48"/>
  <c r="X49"/>
  <c r="Y49"/>
  <c r="Z49"/>
  <c r="AB49"/>
  <c r="N49"/>
  <c r="AC49"/>
  <c r="O49"/>
  <c r="E50"/>
  <c r="X51"/>
  <c r="Y51"/>
  <c r="N51"/>
  <c r="AC51"/>
  <c r="O51"/>
  <c r="E52"/>
  <c r="X53"/>
  <c r="Y53"/>
  <c r="Z53"/>
  <c r="AB53"/>
  <c r="N53"/>
  <c r="AC53"/>
  <c r="O53"/>
  <c r="G61"/>
  <c r="K61"/>
  <c r="J55"/>
  <c r="S61"/>
  <c r="W61"/>
  <c r="J57"/>
  <c r="X57"/>
  <c r="Y57"/>
  <c r="AD57"/>
  <c r="J59"/>
  <c r="Z59"/>
  <c r="Y59"/>
  <c r="X62"/>
  <c r="Y62"/>
  <c r="D80"/>
  <c r="Z62"/>
  <c r="AB62"/>
  <c r="H80"/>
  <c r="L80"/>
  <c r="P80"/>
  <c r="N80"/>
  <c r="N62"/>
  <c r="AC62"/>
  <c r="O62"/>
  <c r="T80"/>
  <c r="E63"/>
  <c r="AC64"/>
  <c r="X64"/>
  <c r="Y64"/>
  <c r="Z64"/>
  <c r="AB64"/>
  <c r="N64"/>
  <c r="O64"/>
  <c r="E65"/>
  <c r="Z66"/>
  <c r="AB66"/>
  <c r="N66"/>
  <c r="AC66"/>
  <c r="O66"/>
  <c r="E67"/>
  <c r="AC68"/>
  <c r="X68"/>
  <c r="Y68"/>
  <c r="N68"/>
  <c r="O68"/>
  <c r="E69"/>
  <c r="Z70"/>
  <c r="AB70"/>
  <c r="N70"/>
  <c r="AC70"/>
  <c r="O70"/>
  <c r="E71"/>
  <c r="AC72"/>
  <c r="X72"/>
  <c r="Y72"/>
  <c r="Z72"/>
  <c r="AB72"/>
  <c r="N72"/>
  <c r="O72"/>
  <c r="E73"/>
  <c r="Z74"/>
  <c r="AB74"/>
  <c r="N74"/>
  <c r="AC74"/>
  <c r="O74"/>
  <c r="E75"/>
  <c r="AC76"/>
  <c r="X76"/>
  <c r="Y76"/>
  <c r="N76"/>
  <c r="O76"/>
  <c r="E77"/>
  <c r="Z78"/>
  <c r="AB78"/>
  <c r="N78"/>
  <c r="AC78"/>
  <c r="O78"/>
  <c r="E79"/>
  <c r="I93"/>
  <c r="M93"/>
  <c r="Q93"/>
  <c r="U93"/>
  <c r="J82"/>
  <c r="Z82"/>
  <c r="J84"/>
  <c r="AD84"/>
  <c r="J86"/>
  <c r="Z86"/>
  <c r="J88"/>
  <c r="Z88"/>
  <c r="J90"/>
  <c r="X90"/>
  <c r="Y90"/>
  <c r="J92"/>
  <c r="X92"/>
  <c r="Y92"/>
  <c r="AD92"/>
  <c r="I101"/>
  <c r="M101"/>
  <c r="Q101"/>
  <c r="U101"/>
  <c r="J95"/>
  <c r="Y95"/>
  <c r="J97"/>
  <c r="X97"/>
  <c r="Y97"/>
  <c r="J99"/>
  <c r="Z99"/>
  <c r="C102"/>
  <c r="Z20"/>
  <c r="H10" i="10"/>
  <c r="H103" i="9"/>
  <c r="AB88" i="34"/>
  <c r="AD88"/>
  <c r="AB82"/>
  <c r="AD82"/>
  <c r="AB73"/>
  <c r="AD73"/>
  <c r="AB91"/>
  <c r="AD91"/>
  <c r="AB87"/>
  <c r="AD87"/>
  <c r="AB58"/>
  <c r="AD58"/>
  <c r="AB46"/>
  <c r="AD46"/>
  <c r="AB37"/>
  <c r="AD37"/>
  <c r="AB51"/>
  <c r="AD51"/>
  <c r="AB18"/>
  <c r="AD18"/>
  <c r="AB15"/>
  <c r="AD15"/>
  <c r="AB79"/>
  <c r="AD79"/>
  <c r="AB75"/>
  <c r="AD75"/>
  <c r="AB83"/>
  <c r="AD83"/>
  <c r="AB60"/>
  <c r="AD60"/>
  <c r="AB68"/>
  <c r="AD68"/>
  <c r="AB22"/>
  <c r="AD22"/>
  <c r="AB59"/>
  <c r="AD59"/>
  <c r="AB34"/>
  <c r="AD34"/>
  <c r="AB71"/>
  <c r="AD71"/>
  <c r="AB48"/>
  <c r="AD48"/>
  <c r="AB100"/>
  <c r="AD100"/>
  <c r="AB76"/>
  <c r="AD76"/>
  <c r="AB41"/>
  <c r="AD41"/>
  <c r="AB33"/>
  <c r="AD33"/>
  <c r="AB28"/>
  <c r="AD28"/>
  <c r="AB29"/>
  <c r="AD29"/>
  <c r="AB25"/>
  <c r="AD25"/>
  <c r="AB17"/>
  <c r="AD17"/>
  <c r="AB99"/>
  <c r="AD99"/>
  <c r="AB86"/>
  <c r="AD86"/>
  <c r="AB40"/>
  <c r="AD40"/>
  <c r="AB36"/>
  <c r="AD36"/>
  <c r="AB63"/>
  <c r="AD63"/>
  <c r="AB98"/>
  <c r="AD98"/>
  <c r="AB30"/>
  <c r="AD30"/>
  <c r="AB13"/>
  <c r="AD13"/>
  <c r="AB7"/>
  <c r="AD7"/>
  <c r="AB21"/>
  <c r="AD21"/>
  <c r="AB12"/>
  <c r="AD12"/>
  <c r="Y61"/>
  <c r="AC80"/>
  <c r="O61"/>
  <c r="Z42"/>
  <c r="Z50"/>
  <c r="J61"/>
  <c r="X86"/>
  <c r="Y86"/>
  <c r="X82"/>
  <c r="Y82"/>
  <c r="Z55"/>
  <c r="X40"/>
  <c r="Y40"/>
  <c r="N43"/>
  <c r="X73"/>
  <c r="Y73"/>
  <c r="Z67"/>
  <c r="AC46"/>
  <c r="AC98"/>
  <c r="N101"/>
  <c r="AC101"/>
  <c r="AD95"/>
  <c r="Z47"/>
  <c r="AD38"/>
  <c r="J43"/>
  <c r="Z43"/>
  <c r="Z97"/>
  <c r="Z90"/>
  <c r="O43"/>
  <c r="J101"/>
  <c r="Z101"/>
  <c r="Z52"/>
  <c r="AD35"/>
  <c r="Z96"/>
  <c r="X94"/>
  <c r="Y94"/>
  <c r="O93"/>
  <c r="AD74"/>
  <c r="AD66"/>
  <c r="X58"/>
  <c r="Y58"/>
  <c r="Z56"/>
  <c r="AD49"/>
  <c r="AC41"/>
  <c r="AC33"/>
  <c r="E43"/>
  <c r="AD24"/>
  <c r="E16"/>
  <c r="G102"/>
  <c r="Z26"/>
  <c r="X18"/>
  <c r="Y18"/>
  <c r="T102"/>
  <c r="L102"/>
  <c r="X32"/>
  <c r="Y32"/>
  <c r="X13"/>
  <c r="Y13"/>
  <c r="Z11"/>
  <c r="N16"/>
  <c r="AC16"/>
  <c r="U102"/>
  <c r="AD8"/>
  <c r="F102"/>
  <c r="P102"/>
  <c r="N4"/>
  <c r="N102"/>
  <c r="E101"/>
  <c r="X34"/>
  <c r="Y34"/>
  <c r="J93"/>
  <c r="X75"/>
  <c r="Y75"/>
  <c r="Z65"/>
  <c r="O101"/>
  <c r="X87"/>
  <c r="Y87"/>
  <c r="Z85"/>
  <c r="Z81"/>
  <c r="E61"/>
  <c r="Z39"/>
  <c r="X37"/>
  <c r="Y37"/>
  <c r="Z14"/>
  <c r="Z10"/>
  <c r="Z6"/>
  <c r="K102"/>
  <c r="X28"/>
  <c r="Y28"/>
  <c r="X3"/>
  <c r="Y3"/>
  <c r="Z32"/>
  <c r="O16"/>
  <c r="O102"/>
  <c r="I102"/>
  <c r="X25"/>
  <c r="Y25"/>
  <c r="Z23"/>
  <c r="E102"/>
  <c r="AB20"/>
  <c r="AD20"/>
  <c r="AC54"/>
  <c r="X54"/>
  <c r="Y54"/>
  <c r="X101"/>
  <c r="Y101"/>
  <c r="W102"/>
  <c r="AC43"/>
  <c r="X43"/>
  <c r="Y43"/>
  <c r="X16"/>
  <c r="Y16"/>
  <c r="Z16"/>
  <c r="AB16"/>
  <c r="E93"/>
  <c r="O54"/>
  <c r="AC93"/>
  <c r="AD78"/>
  <c r="AD70"/>
  <c r="AD62"/>
  <c r="AD53"/>
  <c r="AD45"/>
  <c r="Z3"/>
  <c r="J31"/>
  <c r="J102"/>
  <c r="Z9"/>
  <c r="M102"/>
  <c r="Z19"/>
  <c r="X17"/>
  <c r="Y17"/>
  <c r="R102"/>
  <c r="Z61"/>
  <c r="AB61"/>
  <c r="AC61"/>
  <c r="X61"/>
  <c r="D102"/>
  <c r="X4"/>
  <c r="AC31"/>
  <c r="X31"/>
  <c r="Y31"/>
  <c r="E54"/>
  <c r="X99"/>
  <c r="Y99"/>
  <c r="O80"/>
  <c r="J54"/>
  <c r="Z54"/>
  <c r="E80"/>
  <c r="Z44"/>
  <c r="AC94"/>
  <c r="N93"/>
  <c r="X81"/>
  <c r="J80"/>
  <c r="Z80"/>
  <c r="S102"/>
  <c r="E31"/>
  <c r="J16"/>
  <c r="H102"/>
  <c r="Q102"/>
  <c r="O31"/>
  <c r="V102"/>
  <c r="AB80"/>
  <c r="AD80"/>
  <c r="AB101"/>
  <c r="AD101"/>
  <c r="AB43"/>
  <c r="AD43"/>
  <c r="AB54"/>
  <c r="AD54"/>
  <c r="AB19"/>
  <c r="AD19"/>
  <c r="AB3"/>
  <c r="AD3"/>
  <c r="AB85"/>
  <c r="AD85"/>
  <c r="AB11"/>
  <c r="AD11"/>
  <c r="AB96"/>
  <c r="AD96"/>
  <c r="AB14"/>
  <c r="AD14"/>
  <c r="Z93"/>
  <c r="AB81"/>
  <c r="AB93"/>
  <c r="AD81"/>
  <c r="AB65"/>
  <c r="AD65"/>
  <c r="AB42"/>
  <c r="AD42"/>
  <c r="AB9"/>
  <c r="AD9"/>
  <c r="AB10"/>
  <c r="AD10"/>
  <c r="AB26"/>
  <c r="AD26"/>
  <c r="AB56"/>
  <c r="AD56"/>
  <c r="AB52"/>
  <c r="AD52"/>
  <c r="AB97"/>
  <c r="AD97"/>
  <c r="AB67"/>
  <c r="AD67"/>
  <c r="AB55"/>
  <c r="AD55"/>
  <c r="AB50"/>
  <c r="AD50"/>
  <c r="X93"/>
  <c r="Y81"/>
  <c r="Y93"/>
  <c r="AB23"/>
  <c r="AD23"/>
  <c r="AB32"/>
  <c r="AD32"/>
  <c r="AB6"/>
  <c r="AD6"/>
  <c r="AB39"/>
  <c r="AD39"/>
  <c r="AB90"/>
  <c r="AD90"/>
  <c r="AB47"/>
  <c r="AD47"/>
  <c r="Z4"/>
  <c r="AD16"/>
  <c r="Z31"/>
  <c r="X80"/>
  <c r="Y80"/>
  <c r="AC4"/>
  <c r="AC102"/>
  <c r="Y4"/>
  <c r="Y102"/>
  <c r="AD61"/>
  <c r="AB44"/>
  <c r="AD44"/>
  <c r="AB31"/>
  <c r="AD31"/>
  <c r="Z102"/>
  <c r="AB4"/>
  <c r="AB102"/>
  <c r="AD4"/>
  <c r="X102"/>
  <c r="AD93"/>
  <c r="AD102"/>
  <c r="H74" i="11"/>
  <c r="H55" i="3"/>
  <c r="H54" i="11"/>
  <c r="H48"/>
  <c r="H53"/>
  <c r="F103" i="3"/>
  <c r="D103" i="11"/>
  <c r="H47" i="3"/>
  <c r="C103"/>
  <c r="H42" i="16"/>
  <c r="H32"/>
  <c r="H18"/>
  <c r="G10"/>
  <c r="H90"/>
  <c r="G100" i="3"/>
  <c r="C100" i="11"/>
  <c r="G100" s="1"/>
  <c r="G95"/>
  <c r="G78" i="16"/>
  <c r="G88" i="3"/>
  <c r="H103"/>
  <c r="H57" i="16"/>
  <c r="G63"/>
  <c r="E103" i="3"/>
  <c r="G103"/>
  <c r="H37" i="16"/>
  <c r="G36"/>
  <c r="G30"/>
  <c r="H6"/>
  <c r="D22"/>
  <c r="C22" i="11"/>
  <c r="C103"/>
  <c r="G4"/>
  <c r="C4" i="16"/>
  <c r="C22" s="1"/>
  <c r="G22" s="1"/>
  <c r="G4"/>
  <c r="F34" i="11"/>
  <c r="H34"/>
  <c r="G5" i="10"/>
  <c r="F22" i="16"/>
  <c r="F22" i="11"/>
  <c r="G45"/>
  <c r="E47" i="16"/>
  <c r="E88"/>
  <c r="E70" i="11"/>
  <c r="G70"/>
  <c r="E70" i="16"/>
  <c r="G34" i="9"/>
  <c r="E34" i="16"/>
  <c r="E103" i="9"/>
  <c r="E22" i="11"/>
  <c r="G22"/>
  <c r="E22" i="16"/>
  <c r="H22"/>
  <c r="H22" i="11"/>
  <c r="G103" i="9"/>
  <c r="E103" i="11"/>
  <c r="G103" s="1"/>
  <c r="E103" i="16"/>
  <c r="C100" l="1"/>
  <c r="G89"/>
  <c r="G71"/>
  <c r="C77"/>
  <c r="G77" s="1"/>
  <c r="H48"/>
  <c r="D55"/>
  <c r="H23"/>
  <c r="D34"/>
  <c r="D70"/>
  <c r="H70" s="1"/>
  <c r="D47"/>
  <c r="H47" s="1"/>
  <c r="H80"/>
  <c r="D88"/>
  <c r="H88" s="1"/>
  <c r="H71"/>
  <c r="D77"/>
  <c r="H77" s="1"/>
  <c r="G24"/>
  <c r="C34"/>
  <c r="G34" s="1"/>
  <c r="C88"/>
  <c r="G88" s="1"/>
  <c r="C70"/>
  <c r="G70" s="1"/>
  <c r="C55"/>
  <c r="G55" s="1"/>
  <c r="F55"/>
  <c r="H55" s="1"/>
  <c r="G100" l="1"/>
  <c r="C103"/>
  <c r="G103" s="1"/>
  <c r="F103"/>
  <c r="H34"/>
  <c r="D103"/>
  <c r="H103" l="1"/>
</calcChain>
</file>

<file path=xl/sharedStrings.xml><?xml version="1.0" encoding="utf-8"?>
<sst xmlns="http://schemas.openxmlformats.org/spreadsheetml/2006/main" count="1066" uniqueCount="207">
  <si>
    <t>Наименование территории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</si>
  <si>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</si>
  <si>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</si>
  <si>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</si>
  <si>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</si>
  <si>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Г.МОСКВА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</si>
  <si>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</si>
  <si>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</si>
  <si>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</si>
  <si>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</si>
  <si>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</si>
  <si>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</si>
  <si>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</si>
  <si>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</si>
  <si>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</si>
  <si>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</si>
  <si>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</si>
  <si>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</si>
  <si>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</si>
  <si>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ИТОГО по ЦФО</t>
  </si>
  <si>
    <t>АРХАНГЕЛЬСКАЯ ОБЛАСТЬ</t>
  </si>
  <si>
    <t>ВОЛОГОДСКАЯ ОБЛАСТЬ</t>
  </si>
  <si>
    <t>Г.САНКТ-ПЕТЕРБУРГ</t>
  </si>
  <si>
    <t>КАЛИНИНГРАДСКАЯ ОБЛАСТЬ</t>
  </si>
  <si>
    <t>ЛЕНИНГРАДСКАЯ ОБЛАСТЬ</t>
  </si>
  <si>
    <t>МУРМАНСКАЯ ОБЛАСТЬ</t>
  </si>
  <si>
    <t>НЕНЕЦКИЙ АО</t>
  </si>
  <si>
    <t>НОВГОРОДСКАЯ ОБЛАСТЬ</t>
  </si>
  <si>
    <t>ПСКОВСКАЯ ОБЛАСТЬ</t>
  </si>
  <si>
    <t>РЕСПУБЛИКА КАРЕЛИЯ</t>
  </si>
  <si>
    <t>РЕСПУБЛИКА КОМИ</t>
  </si>
  <si>
    <t>ИТОГО по СЗФО</t>
  </si>
  <si>
    <t>АСТРАХАНСКАЯ ОБЛАСТЬ</t>
  </si>
  <si>
    <t>ВОЛГОГРАДСКАЯ ОБЛАСТЬ</t>
  </si>
  <si>
    <t>КРАСНОДАРСКИЙ КРАЙ</t>
  </si>
  <si>
    <t>РЕСПУБЛИКА АДЫГЕЯ(АДЫГЕЯ)</t>
  </si>
  <si>
    <t>РЕСПУБЛИКА КАЛМЫКИЯ</t>
  </si>
  <si>
    <t>РОСТОВСКАЯ ОБЛАСТЬ</t>
  </si>
  <si>
    <t>ИТОГО по ЮФО</t>
  </si>
  <si>
    <t>КАБАРДИНО-БАЛКАРСКАЯ РЕСПУБЛИКА</t>
  </si>
  <si>
    <t>КАРАЧАЕВО-ЧЕРКЕССКАЯ РЕСПУБЛИКА</t>
  </si>
  <si>
    <t>РЕСПУБЛИКА ДАГЕСТАН</t>
  </si>
  <si>
    <t>РЕСПУБЛИКА ИНГУШЕТИЯ</t>
  </si>
  <si>
    <t>РЕСПУБЛИКА СЕВЕРНАЯ ОСЕТИЯ - АЛАНИЯ</t>
  </si>
  <si>
    <t>СТАВРОПОЛЬСКИЙ КРАЙ</t>
  </si>
  <si>
    <t>ЧЕЧЕНСКАЯ РЕСПУБЛИКА</t>
  </si>
  <si>
    <t>ИТОГО по СКФО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</si>
  <si>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</si>
  <si>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</si>
  <si>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</si>
  <si>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</si>
  <si>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</si>
  <si>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</si>
  <si>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</si>
  <si>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</si>
  <si>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</si>
  <si>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</si>
  <si>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</si>
  <si>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</si>
  <si>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</si>
  <si>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</si>
  <si>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ИТОГО по ПФО</t>
  </si>
  <si>
    <t>КУРГАНСКАЯ ОБЛАСТЬ</t>
  </si>
  <si>
    <t>СВЕРДЛОВСКАЯ ОБЛАСТЬ</t>
  </si>
  <si>
    <t>ТЮМЕНСКАЯ ОБЛАСТЬ</t>
  </si>
  <si>
    <t>ХАНТЫ-МАНСИЙСКИЙ АО</t>
  </si>
  <si>
    <t>ЧЕЛЯБИНСКАЯ ОБЛАСТЬ</t>
  </si>
  <si>
    <t>ЯМАЛО-НЕНЕЦКИЙ АО</t>
  </si>
  <si>
    <t>ИТОГО по УФО</t>
  </si>
  <si>
    <t>АЛТАЙСКИЙ КРАЙ</t>
  </si>
  <si>
    <t>ЗАБАЙКАЛЬСКИЙ КРАЙ</t>
  </si>
  <si>
    <t>ИРКУТСКАЯ ОБЛАСТЬ</t>
  </si>
  <si>
    <t>КЕМЕРОВСКАЯ ОБЛАСТЬ</t>
  </si>
  <si>
    <t>КРАСНОЯРСКИЙ КРАЙ</t>
  </si>
  <si>
    <t>НОВОСИБИРСКАЯ ОБЛАСТЬ</t>
  </si>
  <si>
    <t>ОМСКАЯ ОБЛАСТЬ</t>
  </si>
  <si>
    <t>РЕСПУБЛИКА ГОРНЫЙ АЛТАЙ</t>
  </si>
  <si>
    <t>РЕСПУБЛИКА БУРЯТИЯ</t>
  </si>
  <si>
    <t>РЕСПУБЛИКА ТЫВА</t>
  </si>
  <si>
    <t>РЕСПУБЛИКА ХАКАСИЯ</t>
  </si>
  <si>
    <t>ТОМСКАЯ ОБЛАСТЬ</t>
  </si>
  <si>
    <t>ИТОГО по СФО</t>
  </si>
  <si>
    <t>АМУРСКАЯ ОБЛАСТЬ</t>
  </si>
  <si>
    <t>ЕВРЕЙСКАЯ АО</t>
  </si>
  <si>
    <t>КАМЧАТСКИЙ КРАЙ</t>
  </si>
  <si>
    <t>МАГАДАНСКАЯ ОБЛАСТЬ</t>
  </si>
  <si>
    <t>ПРИМОРСКИЙ КРАЙ</t>
  </si>
  <si>
    <t>РЕСПУБЛИКА САХА(ЯКУТИЯ)</t>
  </si>
  <si>
    <t>САХАЛИНСКАЯ ОБЛАСТЬ</t>
  </si>
  <si>
    <t>ХАБАРОВСКИЙ КРАЙ</t>
  </si>
  <si>
    <t>ЧУКОТСКИЙ АО</t>
  </si>
  <si>
    <t>ИТОГО по ДФО</t>
  </si>
  <si>
    <t>ИТОГО по Всем ЛПУ :</t>
  </si>
  <si>
    <t>Итого Байконур:</t>
  </si>
  <si>
    <t>Кол-во пролеченных человек, в чел.</t>
  </si>
  <si>
    <t>Сумма, перечисленная территориальным фондам, в руб.</t>
  </si>
  <si>
    <t>№ п/п</t>
  </si>
  <si>
    <t>Сумма,                           поступившая от территориальных фондов, в руб.</t>
  </si>
  <si>
    <t>Динамика роста (+), (-) по количеству пролеченных чел. в %</t>
  </si>
  <si>
    <t>Кол-во пролеченных человек,                      в чел.</t>
  </si>
  <si>
    <t>Сумма,                           направленная в ТФОМС других субъектов РФ,                                    в руб.</t>
  </si>
  <si>
    <t>ИТОГО  Байконур</t>
  </si>
  <si>
    <t>РЕСПУБЛИКА КРЫМ</t>
  </si>
  <si>
    <t>Г. СЕВАСТОПОЛЬ</t>
  </si>
  <si>
    <t>БАЙКОНУР</t>
  </si>
  <si>
    <t>Динамика роста (+), (-) по суммам  руб. в %</t>
  </si>
  <si>
    <t>Динамика роста (+), (-) по суммам руб. в %</t>
  </si>
  <si>
    <t xml:space="preserve">Отношение количества пролеченных лиц, застрахованных на территории Пензенской обл. к количеству пролеченных лиц, застрахованных на территориях других субъектов РФ </t>
  </si>
  <si>
    <t xml:space="preserve">Отношение количества пролеченных лиц, застрахованных на территории Пензенской обл. к количеству пролеченных лиц, застрахованных на территориях других субъектов РФ в % </t>
  </si>
  <si>
    <t>Отношение объема направленных средств к объему поступивших средств</t>
  </si>
  <si>
    <t>Отношение объема направленных средств к объему поступивших средств в%</t>
  </si>
  <si>
    <t>ИТОГО по Всем территориям:</t>
  </si>
  <si>
    <t>Сумма, перечисленная территориальным фондам,                   в руб.</t>
  </si>
  <si>
    <t>Сумма, перечисленная территориальным фондам,                    в руб.</t>
  </si>
  <si>
    <t>-</t>
  </si>
  <si>
    <t>__________________</t>
  </si>
  <si>
    <t>Округ</t>
  </si>
  <si>
    <t>Сумма оплаченных счетов нами</t>
  </si>
  <si>
    <t>Б</t>
  </si>
  <si>
    <t>БАЙКОНУР (КАЗАХСТАН)</t>
  </si>
  <si>
    <t>Б Итог</t>
  </si>
  <si>
    <t>ДФО</t>
  </si>
  <si>
    <t>ДФО Итог</t>
  </si>
  <si>
    <t>ПФО</t>
  </si>
  <si>
    <t>ПФО Итог</t>
  </si>
  <si>
    <t>СЗФО</t>
  </si>
  <si>
    <t>СЗФО Итог</t>
  </si>
  <si>
    <t>СФО</t>
  </si>
  <si>
    <t>СФО Итог</t>
  </si>
  <si>
    <t>УФО</t>
  </si>
  <si>
    <t>УФО Итог</t>
  </si>
  <si>
    <t>ЦФО</t>
  </si>
  <si>
    <t>ЦФО Итог</t>
  </si>
  <si>
    <t>ЮФО</t>
  </si>
  <si>
    <t>Г.СЕВАСТОПОЛЬ</t>
  </si>
  <si>
    <t>ЮФО Итог</t>
  </si>
  <si>
    <t>СКФО</t>
  </si>
  <si>
    <t>СКФО Итог</t>
  </si>
  <si>
    <t>Общий итог</t>
  </si>
  <si>
    <t>№</t>
  </si>
  <si>
    <t>Код терр.</t>
  </si>
  <si>
    <t>Кол-во прин. пролеченных 58</t>
  </si>
  <si>
    <t>Сумма прин. 58</t>
  </si>
  <si>
    <t>РЕСПУБЛИКА АДЫГЕЯ</t>
  </si>
  <si>
    <t>Республика Крым</t>
  </si>
  <si>
    <t>г. Севастополь</t>
  </si>
  <si>
    <t>РЕСПУБЛИКА АЛТАЙ</t>
  </si>
  <si>
    <t>КЕМЕРОВСКАЯ ОБЛАСТЬ-КУЗБАСС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</si>
  <si>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</si>
  <si>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</si>
  <si>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</si>
  <si>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</si>
  <si>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>ИТОГО по КФО</t>
  </si>
  <si>
    <t>г. Байконур</t>
  </si>
  <si>
    <t>ИТОГО по Байконур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</si>
  <si>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</si>
  <si>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</si>
  <si>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</si>
  <si>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</si>
  <si>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>Начальник ОМТР</t>
  </si>
  <si>
    <t>Н.Г. Синичкина</t>
  </si>
  <si>
    <t>банк</t>
  </si>
  <si>
    <t>г. БАЙКОНУР (КАЗАХСТАН)</t>
  </si>
  <si>
    <t>возврат</t>
  </si>
  <si>
    <t>возвраты</t>
  </si>
  <si>
    <t>частичная оплата</t>
  </si>
  <si>
    <t>Сумма Оплаченная по задолженности на начало года</t>
  </si>
  <si>
    <t>Сумма  Оплаченная  по  предъявленным счетам в отчетном периоде</t>
  </si>
  <si>
    <t>Сумма Оплаченная по предъявленным счетам за предыдущие  периоды</t>
  </si>
  <si>
    <t>Отказано в оплате в отчётном периоде    (для УСОИ)</t>
  </si>
  <si>
    <t>Сумма, не принятая к оплате всего</t>
  </si>
  <si>
    <t>Сумма  отклонений по  счетам задолженности на начало года</t>
  </si>
  <si>
    <t>Сумма отклонения по дешкам задолженности на начало года</t>
  </si>
  <si>
    <t>Повтороное отклонение по дешкам задолженности на начало года</t>
  </si>
  <si>
    <t>Сумма отклонений по  предъявленным счетам в отчетном периоде</t>
  </si>
  <si>
    <t>Сумма отклонения по  выставленным счетам в отчетном периоде по дешкам</t>
  </si>
  <si>
    <t>Повторное отклонение по дешкам отчетного периода</t>
  </si>
  <si>
    <t>Сумма  отклонений по  предъявленным счетам за предыдущие периоды</t>
  </si>
  <si>
    <t>Сальдо на 01.04.2020</t>
  </si>
  <si>
    <t>Сумма выставленных счетов всего</t>
  </si>
  <si>
    <t>Сумма повторно выставленая по сальдо</t>
  </si>
  <si>
    <t>Сумма предъявленная нам в отчетном периоде</t>
  </si>
  <si>
    <t>Сумма повторно выставленного счета в отчетном периоде</t>
  </si>
  <si>
    <t>Сумма предъявленная за предыдущие периоды</t>
  </si>
  <si>
    <t>Сумма, поступившая от территориальных фондов, в руб.</t>
  </si>
  <si>
    <t>Сумма, поступившая от территориальных фондов,  в руб.</t>
  </si>
  <si>
    <r>
      <t xml:space="preserve">Сальдо на 01.01.2025                  </t>
    </r>
    <r>
      <rPr>
        <b/>
        <sz val="10"/>
        <rFont val="Arial Cyr"/>
        <charset val="204"/>
      </rPr>
      <t xml:space="preserve">(без исправленных счетов) </t>
    </r>
  </si>
  <si>
    <t>Сальдо на 01.01.2025</t>
  </si>
  <si>
    <t>Оплата по предъявленным ТФОМС счетам за жителей Пензенской области 01.03.2025 года</t>
  </si>
  <si>
    <t>Сальдо на 01.03.2025 (основные и дополнительные счета)</t>
  </si>
  <si>
    <t>Сальдо на 01.03.2025 (основные счета)</t>
  </si>
  <si>
    <t>Сальдо на 01.03.2025 (дополнительные счета)</t>
  </si>
  <si>
    <t>Сравнительный анализ объемов  средств, направленных ТФОМС  Пензенской области в ТФОМС других субъектов РФ за лечение лиц, застрахованных на территории Пензенской области, за январь -февраль 2024 - 2025гг.</t>
  </si>
  <si>
    <t>Объем направленных средств территориальным фондом Пензенской области в ТФОМС других субъектов РФ за лечение лиц, застрахованных на территории Пензенской области, за январь-февраль 2024</t>
  </si>
  <si>
    <t>Объем направленных средств территориальным фондом Пензенской области в ТФОМС других субъектов РФ за лечение лиц, застрахованных на территории Пензенской области, за январь- февраль  2025</t>
  </si>
  <si>
    <t>Данные об оказанных услугах за январь-февраль 2025 в рамках межтерриториальных расчетов</t>
  </si>
  <si>
    <t>Объем направленных средств территориальным фондом Пензенской области в ТФОМС других субъектов РФ за лечение лиц, застрахованных на территории Пензенской области,                                                     за январь-февраль 2025</t>
  </si>
  <si>
    <t>Объем направленных средств территориальным фондом Пензенской области в ТФОМС других субъектов РФ за лечение лиц, застрахованных на территории Пензенской области,                                                     за январь-февраль  2025</t>
  </si>
  <si>
    <t xml:space="preserve">Сравнительный анализ объемов  средств, направленных ТФОМС Пензенской области в ТФОМС приграничных территорий РФ  за лечение лиц, застрахованных на территории Пензенской области, за январь-февраль    2024 - 2025г.                                          </t>
  </si>
  <si>
    <t>Объем направленных средств территориальным фондом Пензенской области в ТФОМС других субъектов РФ за лечение лиц, застрахованных на территории Пензенской области, за январь-февраль  2025</t>
  </si>
  <si>
    <t>Объем направленных средств территориальным фондом Пензенской области в ТФОМС других субъектов РФ за лечение лиц, застрахованных на территории Пензенской области, за январь-февраль  2024</t>
  </si>
  <si>
    <t>Сравнительный анализ объемов поступивших средств от ТФОМС других субъектов РФ на оплату медицинской помощи, оказанной в медицинских организациях Пензенской области лицам, застрахованным на территории других  субъектов РФ, за январь-февраль 2024-2025 г.</t>
  </si>
  <si>
    <t>Объем поступивших средств от ТФОМС других субъектов РФ на оплату медицинской помощи, оказанной в медицинских организациях Пензенской области лицам, застрахованным на территории других  субъектов РФ, за  январь-февраль  2024</t>
  </si>
  <si>
    <t>Сравнительный анализ объемов поступивших средств от ТФОМС других субъектов РФ на оплату медицинской помощи, оказанной в медицинских организациях Пензенской области лицам, застрахованным на территории других  субъектов РФ, за январь-февраль  2024-2025 г.</t>
  </si>
  <si>
    <t>Объем поступивших средств от ТФОМС других субъектов РФ на оплату медицинской помощи, оказанной в медицинских организациях Пензенской области лицам, застрахованным на территории других  субъектов РФ, за  январь-февраль 2024</t>
  </si>
  <si>
    <t>Объем поступивших средств от ТФОМС других субъектов РФ на оплату медицинской помощи, оказанной в медицинских организациях Пензенской области лицам, застрахованным на территории других  субъектов РФ, за  январь-февраль  2025</t>
  </si>
  <si>
    <t>Объем поступивших средств от ТФОМС других субъектов РФ на оплату медицинской помощи, оказанной в медицинских организациях Пензенской области лицам, застрахованным на территории других  субъектов РФ, за  январь-февраль 2025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</si>
</sst>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_ ;\-#,##0\ "/>
    <numFmt numFmtId="168" formatCode="#,##0.00_р_."/>
  </numFmts>
  <fonts count="2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2"/>
      <name val="Arial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sz val="8"/>
      <color theme="1"/>
      <name val="Arial Cyr"/>
      <charset val="204"/>
    </font>
    <font>
      <b/>
      <sz val="12"/>
      <color theme="1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0" fontId="13" fillId="0" borderId="0"/>
    <xf numFmtId="0" fontId="12" fillId="0" borderId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329"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6" fontId="2" fillId="0" borderId="2" xfId="4" applyNumberFormat="1" applyFont="1" applyBorder="1" applyAlignment="1">
      <alignment horizontal="center" vertical="center" wrapText="1"/>
    </xf>
    <xf numFmtId="165" fontId="2" fillId="0" borderId="2" xfId="4" applyFont="1" applyBorder="1" applyAlignment="1">
      <alignment horizontal="center" vertical="center" wrapText="1"/>
    </xf>
    <xf numFmtId="0" fontId="8" fillId="0" borderId="0" xfId="0" applyFont="1"/>
    <xf numFmtId="49" fontId="9" fillId="0" borderId="3" xfId="0" applyNumberFormat="1" applyFont="1" applyBorder="1"/>
    <xf numFmtId="49" fontId="9" fillId="0" borderId="2" xfId="0" applyNumberFormat="1" applyFont="1" applyBorder="1"/>
    <xf numFmtId="49" fontId="0" fillId="0" borderId="3" xfId="0" applyNumberFormat="1" applyBorder="1"/>
    <xf numFmtId="1" fontId="9" fillId="0" borderId="1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49" fontId="2" fillId="2" borderId="2" xfId="0" applyNumberFormat="1" applyFont="1" applyFill="1" applyBorder="1"/>
    <xf numFmtId="1" fontId="9" fillId="2" borderId="2" xfId="0" applyNumberFormat="1" applyFont="1" applyFill="1" applyBorder="1" applyAlignment="1">
      <alignment horizontal="center"/>
    </xf>
    <xf numFmtId="49" fontId="0" fillId="0" borderId="2" xfId="0" applyNumberFormat="1" applyBorder="1"/>
    <xf numFmtId="1" fontId="6" fillId="3" borderId="1" xfId="0" applyNumberFormat="1" applyFont="1" applyFill="1" applyBorder="1" applyAlignment="1">
      <alignment horizontal="center"/>
    </xf>
    <xf numFmtId="49" fontId="2" fillId="3" borderId="3" xfId="0" applyNumberFormat="1" applyFont="1" applyFill="1" applyBorder="1"/>
    <xf numFmtId="49" fontId="2" fillId="3" borderId="2" xfId="0" applyNumberFormat="1" applyFont="1" applyFill="1" applyBorder="1"/>
    <xf numFmtId="1" fontId="6" fillId="3" borderId="2" xfId="0" applyNumberFormat="1" applyFont="1" applyFill="1" applyBorder="1" applyAlignment="1">
      <alignment horizontal="center"/>
    </xf>
    <xf numFmtId="1" fontId="15" fillId="4" borderId="0" xfId="0" applyNumberFormat="1" applyFont="1" applyFill="1" applyBorder="1" applyAlignment="1">
      <alignment horizontal="center"/>
    </xf>
    <xf numFmtId="0" fontId="0" fillId="4" borderId="0" xfId="0" applyFill="1"/>
    <xf numFmtId="168" fontId="0" fillId="0" borderId="0" xfId="0" applyNumberFormat="1"/>
    <xf numFmtId="165" fontId="2" fillId="0" borderId="2" xfId="4" applyNumberFormat="1" applyFont="1" applyBorder="1" applyAlignment="1">
      <alignment horizontal="center" vertical="center" wrapText="1"/>
    </xf>
    <xf numFmtId="165" fontId="2" fillId="0" borderId="2" xfId="4" applyNumberFormat="1" applyFont="1" applyBorder="1" applyAlignment="1">
      <alignment horizontal="center" wrapText="1"/>
    </xf>
    <xf numFmtId="167" fontId="2" fillId="5" borderId="2" xfId="4" applyNumberFormat="1" applyFont="1" applyFill="1" applyBorder="1" applyAlignment="1">
      <alignment wrapText="1"/>
    </xf>
    <xf numFmtId="166" fontId="2" fillId="0" borderId="2" xfId="4" applyNumberFormat="1" applyFont="1" applyFill="1" applyBorder="1" applyAlignment="1">
      <alignment horizontal="center" wrapText="1"/>
    </xf>
    <xf numFmtId="49" fontId="0" fillId="0" borderId="3" xfId="0" applyNumberFormat="1" applyFont="1" applyBorder="1"/>
    <xf numFmtId="165" fontId="0" fillId="0" borderId="0" xfId="0" applyNumberFormat="1" applyAlignment="1">
      <alignment horizontal="center"/>
    </xf>
    <xf numFmtId="49" fontId="2" fillId="6" borderId="3" xfId="0" applyNumberFormat="1" applyFont="1" applyFill="1" applyBorder="1"/>
    <xf numFmtId="49" fontId="2" fillId="6" borderId="2" xfId="0" applyNumberFormat="1" applyFont="1" applyFill="1" applyBorder="1"/>
    <xf numFmtId="1" fontId="15" fillId="7" borderId="2" xfId="0" applyNumberFormat="1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center"/>
    </xf>
    <xf numFmtId="49" fontId="15" fillId="7" borderId="2" xfId="0" applyNumberFormat="1" applyFont="1" applyFill="1" applyBorder="1"/>
    <xf numFmtId="1" fontId="0" fillId="0" borderId="2" xfId="0" applyNumberFormat="1" applyFont="1" applyFill="1" applyBorder="1" applyAlignment="1">
      <alignment horizontal="center"/>
    </xf>
    <xf numFmtId="49" fontId="0" fillId="0" borderId="3" xfId="0" applyNumberFormat="1" applyFill="1" applyBorder="1"/>
    <xf numFmtId="49" fontId="9" fillId="0" borderId="3" xfId="0" applyNumberFormat="1" applyFont="1" applyFill="1" applyBorder="1"/>
    <xf numFmtId="49" fontId="9" fillId="0" borderId="2" xfId="0" applyNumberFormat="1" applyFont="1" applyFill="1" applyBorder="1"/>
    <xf numFmtId="1" fontId="16" fillId="0" borderId="2" xfId="0" applyNumberFormat="1" applyFont="1" applyBorder="1" applyAlignment="1">
      <alignment horizontal="center"/>
    </xf>
    <xf numFmtId="49" fontId="16" fillId="0" borderId="3" xfId="0" applyNumberFormat="1" applyFont="1" applyBorder="1"/>
    <xf numFmtId="0" fontId="16" fillId="0" borderId="0" xfId="0" applyFont="1"/>
    <xf numFmtId="49" fontId="16" fillId="0" borderId="2" xfId="0" applyNumberFormat="1" applyFont="1" applyBorder="1"/>
    <xf numFmtId="0" fontId="0" fillId="0" borderId="0" xfId="0" applyBorder="1"/>
    <xf numFmtId="1" fontId="0" fillId="0" borderId="0" xfId="0" applyNumberFormat="1" applyBorder="1"/>
    <xf numFmtId="2" fontId="0" fillId="0" borderId="0" xfId="0" applyNumberFormat="1" applyBorder="1"/>
    <xf numFmtId="1" fontId="17" fillId="0" borderId="3" xfId="0" applyNumberFormat="1" applyFont="1" applyBorder="1"/>
    <xf numFmtId="165" fontId="8" fillId="0" borderId="2" xfId="4" applyNumberFormat="1" applyFont="1" applyFill="1" applyBorder="1"/>
    <xf numFmtId="1" fontId="7" fillId="3" borderId="2" xfId="0" applyNumberFormat="1" applyFont="1" applyFill="1" applyBorder="1"/>
    <xf numFmtId="1" fontId="17" fillId="0" borderId="4" xfId="2" applyNumberFormat="1" applyFont="1" applyBorder="1"/>
    <xf numFmtId="165" fontId="8" fillId="0" borderId="2" xfId="4" applyNumberFormat="1" applyFont="1" applyBorder="1"/>
    <xf numFmtId="1" fontId="8" fillId="0" borderId="3" xfId="0" applyNumberFormat="1" applyFont="1" applyFill="1" applyBorder="1"/>
    <xf numFmtId="1" fontId="7" fillId="3" borderId="3" xfId="0" applyNumberFormat="1" applyFont="1" applyFill="1" applyBorder="1"/>
    <xf numFmtId="1" fontId="8" fillId="0" borderId="2" xfId="0" applyNumberFormat="1" applyFont="1" applyBorder="1"/>
    <xf numFmtId="1" fontId="10" fillId="0" borderId="0" xfId="0" applyNumberFormat="1" applyFont="1" applyAlignment="1">
      <alignment horizontal="center"/>
    </xf>
    <xf numFmtId="49" fontId="10" fillId="0" borderId="0" xfId="0" applyNumberFormat="1" applyFont="1" applyFill="1"/>
    <xf numFmtId="2" fontId="10" fillId="0" borderId="0" xfId="0" applyNumberFormat="1" applyFont="1" applyFill="1"/>
    <xf numFmtId="0" fontId="10" fillId="0" borderId="0" xfId="0" applyFont="1"/>
    <xf numFmtId="2" fontId="8" fillId="0" borderId="2" xfId="0" applyNumberFormat="1" applyFont="1" applyBorder="1"/>
    <xf numFmtId="0" fontId="10" fillId="0" borderId="0" xfId="0" applyFont="1" applyAlignment="1">
      <alignment horizontal="center"/>
    </xf>
    <xf numFmtId="167" fontId="7" fillId="5" borderId="2" xfId="4" applyNumberFormat="1" applyFont="1" applyFill="1" applyBorder="1" applyAlignment="1"/>
    <xf numFmtId="165" fontId="7" fillId="5" borderId="2" xfId="4" applyFont="1" applyFill="1" applyBorder="1"/>
    <xf numFmtId="166" fontId="0" fillId="0" borderId="0" xfId="4" applyNumberFormat="1" applyFont="1" applyBorder="1"/>
    <xf numFmtId="165" fontId="0" fillId="0" borderId="0" xfId="4" applyFont="1" applyBorder="1"/>
    <xf numFmtId="167" fontId="2" fillId="4" borderId="0" xfId="4" applyNumberFormat="1" applyFont="1" applyFill="1" applyBorder="1" applyAlignment="1"/>
    <xf numFmtId="165" fontId="7" fillId="3" borderId="2" xfId="4" applyFont="1" applyFill="1" applyBorder="1"/>
    <xf numFmtId="165" fontId="7" fillId="3" borderId="3" xfId="4" applyFont="1" applyFill="1" applyBorder="1"/>
    <xf numFmtId="49" fontId="8" fillId="0" borderId="2" xfId="0" applyNumberFormat="1" applyFont="1" applyBorder="1"/>
    <xf numFmtId="166" fontId="7" fillId="2" borderId="2" xfId="4" applyNumberFormat="1" applyFont="1" applyFill="1" applyBorder="1"/>
    <xf numFmtId="165" fontId="7" fillId="2" borderId="2" xfId="4" applyNumberFormat="1" applyFont="1" applyFill="1" applyBorder="1"/>
    <xf numFmtId="165" fontId="2" fillId="0" borderId="2" xfId="4" applyFont="1" applyFill="1" applyBorder="1" applyAlignment="1">
      <alignment horizontal="center" wrapText="1"/>
    </xf>
    <xf numFmtId="165" fontId="0" fillId="0" borderId="0" xfId="4" applyFont="1"/>
    <xf numFmtId="1" fontId="7" fillId="2" borderId="2" xfId="0" applyNumberFormat="1" applyFont="1" applyFill="1" applyBorder="1"/>
    <xf numFmtId="2" fontId="7" fillId="2" borderId="2" xfId="0" applyNumberFormat="1" applyFont="1" applyFill="1" applyBorder="1"/>
    <xf numFmtId="1" fontId="17" fillId="0" borderId="3" xfId="0" applyNumberFormat="1" applyFont="1" applyFill="1" applyBorder="1"/>
    <xf numFmtId="165" fontId="0" fillId="0" borderId="0" xfId="0" applyNumberFormat="1"/>
    <xf numFmtId="2" fontId="10" fillId="0" borderId="0" xfId="0" applyNumberFormat="1" applyFont="1" applyBorder="1"/>
    <xf numFmtId="165" fontId="17" fillId="0" borderId="3" xfId="4" applyFont="1" applyFill="1" applyBorder="1"/>
    <xf numFmtId="1" fontId="2" fillId="0" borderId="2" xfId="0" applyNumberFormat="1" applyFont="1" applyFill="1" applyBorder="1" applyAlignment="1">
      <alignment horizontal="center" vertical="center" wrapText="1"/>
    </xf>
    <xf numFmtId="165" fontId="8" fillId="0" borderId="3" xfId="4" applyFont="1" applyBorder="1"/>
    <xf numFmtId="165" fontId="9" fillId="0" borderId="0" xfId="4" applyFont="1" applyBorder="1"/>
    <xf numFmtId="166" fontId="9" fillId="0" borderId="0" xfId="4" applyNumberFormat="1" applyFont="1" applyBorder="1"/>
    <xf numFmtId="165" fontId="9" fillId="0" borderId="0" xfId="4" applyFont="1"/>
    <xf numFmtId="1" fontId="0" fillId="0" borderId="0" xfId="0" applyNumberFormat="1" applyFont="1" applyFill="1"/>
    <xf numFmtId="0" fontId="0" fillId="0" borderId="0" xfId="0" applyFont="1" applyFill="1"/>
    <xf numFmtId="0" fontId="0" fillId="0" borderId="0" xfId="0" applyFont="1" applyAlignment="1">
      <alignment horizontal="center"/>
    </xf>
    <xf numFmtId="1" fontId="0" fillId="0" borderId="0" xfId="0" applyNumberFormat="1" applyFont="1"/>
    <xf numFmtId="165" fontId="2" fillId="0" borderId="2" xfId="4" applyFont="1" applyBorder="1" applyAlignment="1">
      <alignment horizontal="center" wrapText="1"/>
    </xf>
    <xf numFmtId="166" fontId="0" fillId="0" borderId="0" xfId="0" applyNumberFormat="1" applyFont="1" applyFill="1"/>
    <xf numFmtId="165" fontId="0" fillId="0" borderId="0" xfId="0" applyNumberFormat="1" applyFont="1" applyFill="1"/>
    <xf numFmtId="165" fontId="0" fillId="0" borderId="0" xfId="0" applyNumberFormat="1" applyFont="1" applyAlignment="1">
      <alignment horizontal="center"/>
    </xf>
    <xf numFmtId="164" fontId="0" fillId="0" borderId="0" xfId="0" applyNumberFormat="1" applyFill="1" applyBorder="1"/>
    <xf numFmtId="164" fontId="0" fillId="0" borderId="0" xfId="4" applyNumberFormat="1" applyFont="1" applyBorder="1"/>
    <xf numFmtId="164" fontId="0" fillId="0" borderId="0" xfId="0" applyNumberFormat="1" applyFill="1"/>
    <xf numFmtId="167" fontId="7" fillId="3" borderId="3" xfId="5" applyNumberFormat="1" applyFont="1" applyFill="1" applyBorder="1"/>
    <xf numFmtId="165" fontId="8" fillId="0" borderId="2" xfId="5" applyNumberFormat="1" applyFont="1" applyFill="1" applyBorder="1"/>
    <xf numFmtId="165" fontId="0" fillId="0" borderId="0" xfId="4" applyFont="1" applyAlignment="1">
      <alignment horizontal="center"/>
    </xf>
    <xf numFmtId="1" fontId="0" fillId="4" borderId="2" xfId="0" applyNumberFormat="1" applyFont="1" applyFill="1" applyBorder="1" applyAlignment="1">
      <alignment horizontal="center"/>
    </xf>
    <xf numFmtId="49" fontId="0" fillId="4" borderId="3" xfId="0" applyNumberFormat="1" applyFill="1" applyBorder="1"/>
    <xf numFmtId="165" fontId="7" fillId="3" borderId="2" xfId="5" applyNumberFormat="1" applyFont="1" applyFill="1" applyBorder="1"/>
    <xf numFmtId="0" fontId="0" fillId="0" borderId="0" xfId="0" applyFont="1" applyBorder="1"/>
    <xf numFmtId="0" fontId="0" fillId="0" borderId="0" xfId="0" applyFont="1"/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 applyBorder="1"/>
    <xf numFmtId="1" fontId="2" fillId="3" borderId="1" xfId="0" applyNumberFormat="1" applyFont="1" applyFill="1" applyBorder="1" applyAlignment="1">
      <alignment horizontal="center"/>
    </xf>
    <xf numFmtId="49" fontId="0" fillId="0" borderId="2" xfId="0" applyNumberFormat="1" applyFont="1" applyBorder="1"/>
    <xf numFmtId="49" fontId="0" fillId="0" borderId="3" xfId="0" applyNumberFormat="1" applyFont="1" applyFill="1" applyBorder="1"/>
    <xf numFmtId="49" fontId="0" fillId="0" borderId="2" xfId="0" applyNumberFormat="1" applyFont="1" applyFill="1" applyBorder="1"/>
    <xf numFmtId="1" fontId="2" fillId="3" borderId="2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49" fontId="0" fillId="0" borderId="0" xfId="0" applyNumberFormat="1" applyFont="1"/>
    <xf numFmtId="2" fontId="0" fillId="0" borderId="0" xfId="0" applyNumberFormat="1" applyFont="1" applyBorder="1"/>
    <xf numFmtId="166" fontId="5" fillId="0" borderId="2" xfId="4" applyNumberFormat="1" applyFont="1" applyFill="1" applyBorder="1" applyAlignment="1">
      <alignment horizontal="center" wrapText="1"/>
    </xf>
    <xf numFmtId="165" fontId="5" fillId="0" borderId="2" xfId="4" applyNumberFormat="1" applyFont="1" applyBorder="1" applyAlignment="1">
      <alignment horizont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65" fontId="5" fillId="0" borderId="2" xfId="4" applyFont="1" applyBorder="1" applyAlignment="1">
      <alignment horizontal="center" wrapText="1"/>
    </xf>
    <xf numFmtId="167" fontId="0" fillId="0" borderId="0" xfId="0" applyNumberFormat="1" applyFont="1" applyFill="1"/>
    <xf numFmtId="4" fontId="2" fillId="0" borderId="2" xfId="4" applyNumberFormat="1" applyFont="1" applyBorder="1" applyAlignment="1">
      <alignment horizontal="center" vertical="center" wrapText="1"/>
    </xf>
    <xf numFmtId="4" fontId="7" fillId="6" borderId="3" xfId="4" applyNumberFormat="1" applyFont="1" applyFill="1" applyBorder="1"/>
    <xf numFmtId="4" fontId="0" fillId="0" borderId="0" xfId="4" applyNumberFormat="1" applyFont="1" applyBorder="1"/>
    <xf numFmtId="4" fontId="0" fillId="0" borderId="0" xfId="4" applyNumberFormat="1" applyFont="1"/>
    <xf numFmtId="1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1" fontId="7" fillId="6" borderId="2" xfId="0" applyNumberFormat="1" applyFont="1" applyFill="1" applyBorder="1" applyAlignment="1">
      <alignment horizontal="center"/>
    </xf>
    <xf numFmtId="2" fontId="7" fillId="6" borderId="2" xfId="0" applyNumberFormat="1" applyFont="1" applyFill="1" applyBorder="1" applyAlignment="1">
      <alignment horizontal="center"/>
    </xf>
    <xf numFmtId="166" fontId="0" fillId="0" borderId="0" xfId="4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" xfId="0" applyBorder="1"/>
    <xf numFmtId="3" fontId="2" fillId="0" borderId="2" xfId="0" applyNumberFormat="1" applyFont="1" applyBorder="1" applyAlignment="1">
      <alignment horizontal="center" vertical="center" wrapText="1"/>
    </xf>
    <xf numFmtId="3" fontId="0" fillId="0" borderId="0" xfId="4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4" borderId="0" xfId="0" applyNumberFormat="1" applyFill="1" applyBorder="1" applyAlignment="1">
      <alignment horizontal="right"/>
    </xf>
    <xf numFmtId="4" fontId="11" fillId="4" borderId="0" xfId="4" applyNumberFormat="1" applyFont="1" applyFill="1" applyBorder="1"/>
    <xf numFmtId="1" fontId="0" fillId="4" borderId="0" xfId="0" applyNumberFormat="1" applyFill="1" applyBorder="1"/>
    <xf numFmtId="165" fontId="7" fillId="4" borderId="0" xfId="4" applyFont="1" applyFill="1" applyBorder="1"/>
    <xf numFmtId="4" fontId="8" fillId="4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Border="1"/>
    <xf numFmtId="1" fontId="2" fillId="3" borderId="2" xfId="0" applyNumberFormat="1" applyFont="1" applyFill="1" applyBorder="1"/>
    <xf numFmtId="1" fontId="0" fillId="0" borderId="2" xfId="0" applyNumberFormat="1" applyFont="1" applyFill="1" applyBorder="1"/>
    <xf numFmtId="2" fontId="0" fillId="0" borderId="0" xfId="0" applyNumberFormat="1" applyFont="1"/>
    <xf numFmtId="165" fontId="0" fillId="0" borderId="0" xfId="4" applyNumberFormat="1" applyFont="1" applyFill="1" applyBorder="1"/>
    <xf numFmtId="0" fontId="0" fillId="0" borderId="0" xfId="0" applyAlignment="1">
      <alignment wrapText="1"/>
    </xf>
    <xf numFmtId="0" fontId="0" fillId="4" borderId="0" xfId="0" applyFill="1" applyAlignment="1">
      <alignment horizontal="center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" fontId="2" fillId="8" borderId="2" xfId="0" applyNumberFormat="1" applyFont="1" applyFill="1" applyBorder="1" applyAlignment="1">
      <alignment horizontal="center" wrapText="1"/>
    </xf>
    <xf numFmtId="0" fontId="2" fillId="9" borderId="2" xfId="0" applyFont="1" applyFill="1" applyBorder="1"/>
    <xf numFmtId="0" fontId="2" fillId="9" borderId="2" xfId="0" applyFont="1" applyFill="1" applyBorder="1" applyAlignment="1">
      <alignment wrapText="1"/>
    </xf>
    <xf numFmtId="4" fontId="2" fillId="9" borderId="2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2" xfId="0" applyFont="1" applyBorder="1"/>
    <xf numFmtId="0" fontId="0" fillId="0" borderId="2" xfId="0" applyFont="1" applyBorder="1" applyAlignment="1">
      <alignment wrapText="1"/>
    </xf>
    <xf numFmtId="0" fontId="2" fillId="10" borderId="2" xfId="0" applyFont="1" applyFill="1" applyBorder="1"/>
    <xf numFmtId="0" fontId="0" fillId="10" borderId="2" xfId="0" applyFill="1" applyBorder="1" applyAlignment="1">
      <alignment wrapText="1"/>
    </xf>
    <xf numFmtId="4" fontId="2" fillId="10" borderId="2" xfId="0" applyNumberFormat="1" applyFont="1" applyFill="1" applyBorder="1" applyAlignment="1">
      <alignment horizontal="center"/>
    </xf>
    <xf numFmtId="165" fontId="7" fillId="4" borderId="2" xfId="5" applyNumberFormat="1" applyFont="1" applyFill="1" applyBorder="1"/>
    <xf numFmtId="165" fontId="7" fillId="3" borderId="2" xfId="4" applyNumberFormat="1" applyFont="1" applyFill="1" applyBorder="1" applyAlignment="1">
      <alignment horizontal="right"/>
    </xf>
    <xf numFmtId="2" fontId="7" fillId="3" borderId="2" xfId="0" applyNumberFormat="1" applyFont="1" applyFill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168" fontId="8" fillId="0" borderId="2" xfId="0" applyNumberFormat="1" applyFont="1" applyBorder="1" applyAlignment="1">
      <alignment horizontal="right"/>
    </xf>
    <xf numFmtId="165" fontId="8" fillId="0" borderId="2" xfId="4" applyNumberFormat="1" applyFont="1" applyFill="1" applyBorder="1" applyAlignment="1">
      <alignment horizontal="right"/>
    </xf>
    <xf numFmtId="2" fontId="8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center"/>
    </xf>
    <xf numFmtId="165" fontId="7" fillId="3" borderId="2" xfId="5" applyFont="1" applyFill="1" applyBorder="1"/>
    <xf numFmtId="165" fontId="8" fillId="0" borderId="3" xfId="5" applyNumberFormat="1" applyFont="1" applyBorder="1"/>
    <xf numFmtId="165" fontId="7" fillId="3" borderId="3" xfId="5" applyFont="1" applyFill="1" applyBorder="1"/>
    <xf numFmtId="166" fontId="7" fillId="3" borderId="2" xfId="5" applyNumberFormat="1" applyFont="1" applyFill="1" applyBorder="1"/>
    <xf numFmtId="1" fontId="7" fillId="5" borderId="2" xfId="0" applyNumberFormat="1" applyFont="1" applyFill="1" applyBorder="1" applyAlignment="1">
      <alignment horizontal="right"/>
    </xf>
    <xf numFmtId="168" fontId="7" fillId="5" borderId="2" xfId="0" applyNumberFormat="1" applyFont="1" applyFill="1" applyBorder="1" applyAlignment="1">
      <alignment horizontal="right"/>
    </xf>
    <xf numFmtId="4" fontId="0" fillId="0" borderId="0" xfId="0" applyNumberFormat="1"/>
    <xf numFmtId="3" fontId="11" fillId="7" borderId="2" xfId="0" applyNumberFormat="1" applyFont="1" applyFill="1" applyBorder="1" applyAlignment="1">
      <alignment horizontal="center" vertical="center"/>
    </xf>
    <xf numFmtId="4" fontId="11" fillId="7" borderId="2" xfId="0" applyNumberFormat="1" applyFont="1" applyFill="1" applyBorder="1" applyAlignment="1">
      <alignment horizontal="center"/>
    </xf>
    <xf numFmtId="4" fontId="7" fillId="6" borderId="3" xfId="4" applyNumberFormat="1" applyFont="1" applyFill="1" applyBorder="1" applyAlignment="1">
      <alignment horizontal="center"/>
    </xf>
    <xf numFmtId="4" fontId="8" fillId="4" borderId="2" xfId="0" applyNumberFormat="1" applyFont="1" applyFill="1" applyBorder="1" applyAlignment="1">
      <alignment horizontal="center" wrapText="1"/>
    </xf>
    <xf numFmtId="1" fontId="0" fillId="0" borderId="0" xfId="0" applyNumberFormat="1" applyBorder="1" applyAlignment="1">
      <alignment horizontal="right"/>
    </xf>
    <xf numFmtId="4" fontId="0" fillId="4" borderId="0" xfId="0" applyNumberFormat="1" applyFill="1" applyAlignment="1">
      <alignment horizontal="center"/>
    </xf>
    <xf numFmtId="4" fontId="0" fillId="9" borderId="0" xfId="0" applyNumberFormat="1" applyFill="1"/>
    <xf numFmtId="0" fontId="0" fillId="9" borderId="2" xfId="0" applyFill="1" applyBorder="1" applyAlignment="1">
      <alignment wrapText="1"/>
    </xf>
    <xf numFmtId="4" fontId="2" fillId="9" borderId="2" xfId="0" applyNumberFormat="1" applyFont="1" applyFill="1" applyBorder="1" applyAlignment="1">
      <alignment horizontal="center" wrapText="1"/>
    </xf>
    <xf numFmtId="0" fontId="0" fillId="9" borderId="2" xfId="0" applyFill="1" applyBorder="1"/>
    <xf numFmtId="0" fontId="0" fillId="9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wrapText="1"/>
    </xf>
    <xf numFmtId="0" fontId="0" fillId="0" borderId="2" xfId="0" applyFill="1" applyBorder="1"/>
    <xf numFmtId="4" fontId="0" fillId="0" borderId="0" xfId="0" applyNumberFormat="1" applyFill="1"/>
    <xf numFmtId="0" fontId="0" fillId="0" borderId="0" xfId="0" applyFill="1"/>
    <xf numFmtId="49" fontId="0" fillId="0" borderId="3" xfId="0" applyNumberFormat="1" applyFont="1" applyBorder="1" applyAlignment="1">
      <alignment wrapText="1"/>
    </xf>
    <xf numFmtId="3" fontId="7" fillId="3" borderId="2" xfId="0" applyNumberFormat="1" applyFont="1" applyFill="1" applyBorder="1"/>
    <xf numFmtId="0" fontId="2" fillId="4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0" fillId="0" borderId="2" xfId="0" applyNumberFormat="1" applyBorder="1"/>
    <xf numFmtId="4" fontId="0" fillId="4" borderId="2" xfId="0" applyNumberFormat="1" applyFill="1" applyBorder="1"/>
    <xf numFmtId="4" fontId="2" fillId="4" borderId="2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wrapText="1"/>
    </xf>
    <xf numFmtId="4" fontId="2" fillId="9" borderId="2" xfId="0" applyNumberFormat="1" applyFont="1" applyFill="1" applyBorder="1"/>
    <xf numFmtId="4" fontId="2" fillId="9" borderId="2" xfId="0" applyNumberFormat="1" applyFont="1" applyFill="1" applyBorder="1" applyAlignment="1">
      <alignment horizontal="center" vertical="center" wrapText="1"/>
    </xf>
    <xf numFmtId="4" fontId="0" fillId="9" borderId="2" xfId="0" applyNumberFormat="1" applyFill="1" applyBorder="1" applyAlignment="1">
      <alignment horizontal="center"/>
    </xf>
    <xf numFmtId="4" fontId="2" fillId="11" borderId="2" xfId="0" applyNumberFormat="1" applyFont="1" applyFill="1" applyBorder="1" applyAlignment="1">
      <alignment horizontal="center" wrapText="1"/>
    </xf>
    <xf numFmtId="4" fontId="0" fillId="0" borderId="2" xfId="0" applyNumberFormat="1" applyFont="1" applyBorder="1"/>
    <xf numFmtId="4" fontId="0" fillId="4" borderId="2" xfId="0" applyNumberFormat="1" applyFont="1" applyFill="1" applyBorder="1"/>
    <xf numFmtId="4" fontId="2" fillId="4" borderId="2" xfId="0" applyNumberFormat="1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/>
    </xf>
    <xf numFmtId="0" fontId="0" fillId="10" borderId="2" xfId="0" applyFill="1" applyBorder="1" applyAlignment="1">
      <alignment horizontal="center" wrapText="1"/>
    </xf>
    <xf numFmtId="4" fontId="2" fillId="10" borderId="2" xfId="0" applyNumberFormat="1" applyFont="1" applyFill="1" applyBorder="1" applyAlignment="1">
      <alignment horizontal="center" wrapText="1"/>
    </xf>
    <xf numFmtId="4" fontId="0" fillId="0" borderId="0" xfId="0" applyNumberFormat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167" fontId="7" fillId="3" borderId="3" xfId="5" applyNumberFormat="1" applyFont="1" applyFill="1" applyBorder="1" applyAlignment="1">
      <alignment horizontal="center"/>
    </xf>
    <xf numFmtId="167" fontId="7" fillId="3" borderId="2" xfId="5" applyNumberFormat="1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4" fontId="17" fillId="4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49" fontId="18" fillId="0" borderId="0" xfId="0" applyNumberFormat="1" applyFont="1" applyFill="1" applyBorder="1"/>
    <xf numFmtId="4" fontId="0" fillId="0" borderId="0" xfId="0" applyNumberFormat="1" applyAlignment="1">
      <alignment wrapText="1"/>
    </xf>
    <xf numFmtId="4" fontId="0" fillId="8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wrapText="1"/>
    </xf>
    <xf numFmtId="49" fontId="18" fillId="4" borderId="0" xfId="0" applyNumberFormat="1" applyFont="1" applyFill="1" applyBorder="1"/>
    <xf numFmtId="0" fontId="0" fillId="4" borderId="0" xfId="0" applyFill="1" applyBorder="1" applyAlignment="1">
      <alignment wrapText="1"/>
    </xf>
    <xf numFmtId="49" fontId="18" fillId="0" borderId="0" xfId="0" applyNumberFormat="1" applyFont="1" applyBorder="1"/>
    <xf numFmtId="4" fontId="8" fillId="0" borderId="2" xfId="0" applyNumberFormat="1" applyFont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0" fillId="4" borderId="0" xfId="0" applyFill="1" applyBorder="1"/>
    <xf numFmtId="4" fontId="0" fillId="4" borderId="0" xfId="0" applyNumberFormat="1" applyFill="1" applyBorder="1" applyAlignment="1">
      <alignment wrapText="1"/>
    </xf>
    <xf numFmtId="4" fontId="0" fillId="4" borderId="0" xfId="0" applyNumberFormat="1" applyFill="1" applyBorder="1"/>
    <xf numFmtId="4" fontId="2" fillId="4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  <xf numFmtId="4" fontId="0" fillId="0" borderId="0" xfId="0" applyNumberFormat="1" applyBorder="1"/>
    <xf numFmtId="4" fontId="2" fillId="8" borderId="0" xfId="0" applyNumberFormat="1" applyFont="1" applyFill="1" applyBorder="1" applyAlignment="1">
      <alignment horizontal="center" wrapText="1"/>
    </xf>
    <xf numFmtId="0" fontId="2" fillId="4" borderId="0" xfId="0" applyNumberFormat="1" applyFont="1" applyFill="1" applyBorder="1" applyAlignment="1">
      <alignment horizontal="center" wrapText="1"/>
    </xf>
    <xf numFmtId="0" fontId="0" fillId="4" borderId="0" xfId="0" applyNumberFormat="1" applyFill="1" applyBorder="1"/>
    <xf numFmtId="2" fontId="18" fillId="0" borderId="0" xfId="0" applyNumberFormat="1" applyFont="1" applyBorder="1"/>
    <xf numFmtId="2" fontId="0" fillId="4" borderId="0" xfId="0" applyNumberFormat="1" applyFill="1" applyBorder="1"/>
    <xf numFmtId="43" fontId="0" fillId="0" borderId="0" xfId="0" applyNumberFormat="1" applyBorder="1"/>
    <xf numFmtId="1" fontId="18" fillId="0" borderId="0" xfId="0" applyNumberFormat="1" applyFont="1" applyBorder="1"/>
    <xf numFmtId="0" fontId="16" fillId="4" borderId="0" xfId="0" applyFont="1" applyFill="1" applyBorder="1"/>
    <xf numFmtId="0" fontId="16" fillId="0" borderId="0" xfId="0" applyFont="1" applyBorder="1"/>
    <xf numFmtId="165" fontId="0" fillId="0" borderId="0" xfId="0" applyNumberFormat="1" applyBorder="1"/>
    <xf numFmtId="4" fontId="16" fillId="0" borderId="0" xfId="0" applyNumberFormat="1" applyFont="1" applyBorder="1"/>
    <xf numFmtId="0" fontId="0" fillId="4" borderId="0" xfId="0" applyNumberFormat="1" applyFont="1" applyFill="1" applyBorder="1" applyAlignment="1">
      <alignment horizontal="center" wrapText="1"/>
    </xf>
    <xf numFmtId="0" fontId="0" fillId="4" borderId="0" xfId="0" applyNumberFormat="1" applyFont="1" applyFill="1" applyBorder="1" applyAlignment="1">
      <alignment wrapText="1"/>
    </xf>
    <xf numFmtId="0" fontId="0" fillId="4" borderId="0" xfId="0" applyNumberFormat="1" applyFont="1" applyFill="1" applyBorder="1" applyAlignment="1"/>
    <xf numFmtId="0" fontId="0" fillId="0" borderId="0" xfId="0" applyNumberFormat="1" applyFont="1" applyBorder="1" applyAlignment="1"/>
    <xf numFmtId="165" fontId="8" fillId="4" borderId="2" xfId="5" applyNumberFormat="1" applyFont="1" applyFill="1" applyBorder="1"/>
    <xf numFmtId="3" fontId="19" fillId="6" borderId="3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>
      <alignment horizontal="right"/>
    </xf>
    <xf numFmtId="3" fontId="11" fillId="7" borderId="2" xfId="0" applyNumberFormat="1" applyFont="1" applyFill="1" applyBorder="1" applyAlignment="1">
      <alignment horizontal="right"/>
    </xf>
    <xf numFmtId="165" fontId="2" fillId="3" borderId="2" xfId="5" applyFont="1" applyFill="1" applyBorder="1"/>
    <xf numFmtId="165" fontId="2" fillId="3" borderId="3" xfId="5" applyFont="1" applyFill="1" applyBorder="1"/>
    <xf numFmtId="165" fontId="8" fillId="0" borderId="2" xfId="5" applyFont="1" applyFill="1" applyBorder="1"/>
    <xf numFmtId="166" fontId="7" fillId="0" borderId="2" xfId="4" applyNumberFormat="1" applyFont="1" applyFill="1" applyBorder="1" applyAlignment="1">
      <alignment horizontal="center" wrapText="1"/>
    </xf>
    <xf numFmtId="1" fontId="8" fillId="0" borderId="2" xfId="0" applyNumberFormat="1" applyFont="1" applyFill="1" applyBorder="1"/>
    <xf numFmtId="1" fontId="8" fillId="0" borderId="0" xfId="0" applyNumberFormat="1" applyFont="1" applyFill="1" applyBorder="1"/>
    <xf numFmtId="1" fontId="8" fillId="0" borderId="0" xfId="0" applyNumberFormat="1" applyFont="1" applyBorder="1"/>
    <xf numFmtId="1" fontId="8" fillId="0" borderId="0" xfId="0" applyNumberFormat="1" applyFont="1"/>
    <xf numFmtId="165" fontId="8" fillId="0" borderId="3" xfId="5" applyFont="1" applyBorder="1"/>
    <xf numFmtId="0" fontId="8" fillId="4" borderId="2" xfId="0" applyNumberFormat="1" applyFont="1" applyFill="1" applyBorder="1" applyAlignment="1">
      <alignment horizontal="center" wrapText="1"/>
    </xf>
    <xf numFmtId="4" fontId="0" fillId="4" borderId="2" xfId="0" applyNumberFormat="1" applyFont="1" applyFill="1" applyBorder="1" applyAlignment="1">
      <alignment horizont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4" fontId="19" fillId="6" borderId="3" xfId="4" applyNumberFormat="1" applyFont="1" applyFill="1" applyBorder="1"/>
    <xf numFmtId="4" fontId="19" fillId="6" borderId="3" xfId="4" applyNumberFormat="1" applyFont="1" applyFill="1" applyBorder="1" applyAlignment="1">
      <alignment horizontal="center"/>
    </xf>
    <xf numFmtId="1" fontId="19" fillId="6" borderId="3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3" fontId="11" fillId="7" borderId="2" xfId="0" applyNumberFormat="1" applyFont="1" applyFill="1" applyBorder="1" applyAlignment="1">
      <alignment horizontal="center"/>
    </xf>
    <xf numFmtId="4" fontId="8" fillId="4" borderId="2" xfId="0" applyNumberFormat="1" applyFont="1" applyFill="1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4" fontId="17" fillId="0" borderId="2" xfId="0" applyNumberFormat="1" applyFont="1" applyBorder="1" applyAlignment="1">
      <alignment horizontal="center" vertical="center"/>
    </xf>
    <xf numFmtId="1" fontId="0" fillId="0" borderId="3" xfId="0" applyNumberFormat="1" applyFont="1" applyFill="1" applyBorder="1"/>
    <xf numFmtId="165" fontId="0" fillId="0" borderId="2" xfId="5" applyNumberFormat="1" applyFont="1" applyFill="1" applyBorder="1"/>
    <xf numFmtId="165" fontId="7" fillId="12" borderId="2" xfId="5" applyNumberFormat="1" applyFont="1" applyFill="1" applyBorder="1"/>
    <xf numFmtId="1" fontId="2" fillId="0" borderId="2" xfId="0" applyNumberFormat="1" applyFont="1" applyFill="1" applyBorder="1"/>
    <xf numFmtId="1" fontId="0" fillId="3" borderId="2" xfId="0" applyNumberFormat="1" applyFont="1" applyFill="1" applyBorder="1"/>
    <xf numFmtId="1" fontId="17" fillId="0" borderId="3" xfId="0" applyNumberFormat="1" applyFont="1" applyBorder="1" applyAlignment="1">
      <alignment horizontal="center"/>
    </xf>
    <xf numFmtId="0" fontId="19" fillId="6" borderId="2" xfId="0" applyNumberFormat="1" applyFont="1" applyFill="1" applyBorder="1" applyAlignment="1">
      <alignment horizontal="center" wrapText="1"/>
    </xf>
    <xf numFmtId="1" fontId="19" fillId="6" borderId="2" xfId="0" applyNumberFormat="1" applyFont="1" applyFill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0" fontId="8" fillId="4" borderId="0" xfId="0" applyNumberFormat="1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/>
    </xf>
    <xf numFmtId="165" fontId="8" fillId="0" borderId="3" xfId="5" applyFont="1" applyBorder="1" applyAlignment="1">
      <alignment horizontal="center" vertical="center"/>
    </xf>
    <xf numFmtId="1" fontId="10" fillId="0" borderId="0" xfId="0" applyNumberFormat="1" applyFont="1" applyFill="1" applyAlignment="1">
      <alignment horizontal="center"/>
    </xf>
    <xf numFmtId="165" fontId="2" fillId="0" borderId="2" xfId="4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1" xfId="4" applyNumberFormat="1" applyFont="1" applyBorder="1" applyAlignment="1">
      <alignment horizontal="center" vertical="center" wrapText="1"/>
    </xf>
    <xf numFmtId="165" fontId="2" fillId="0" borderId="6" xfId="4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2" xfId="4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2" fillId="0" borderId="2" xfId="4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2" fillId="0" borderId="2" xfId="4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8" fontId="2" fillId="0" borderId="2" xfId="4" applyNumberFormat="1" applyFont="1" applyBorder="1" applyAlignment="1">
      <alignment horizontal="center" vertical="center" wrapText="1"/>
    </xf>
    <xf numFmtId="165" fontId="2" fillId="0" borderId="1" xfId="4" applyFont="1" applyBorder="1" applyAlignment="1">
      <alignment horizontal="center" vertical="center" wrapText="1"/>
    </xf>
    <xf numFmtId="165" fontId="2" fillId="0" borderId="6" xfId="4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</cellXfs>
  <cellStyles count="7">
    <cellStyle name="Normal" xfId="1"/>
    <cellStyle name="Обычный" xfId="0" builtinId="0"/>
    <cellStyle name="Обычный 2" xfId="2"/>
    <cellStyle name="Обычный 3" xfId="3"/>
    <cellStyle name="Финансовый" xfId="4" builtinId="3"/>
    <cellStyle name="Финансовый 2" xfId="5"/>
    <cellStyle name="Финансовый 2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1;&#1040;&#1053;&#1050;\&#1052;&#1058;&#1056;-&#1041;&#1040;&#1053;&#1050;-%202025%20&#1060;&#1045;&#1042;&#1056;&#1040;&#1051;&#106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кл для экспертов"/>
      <sheetName val="ЛЮДИ"/>
      <sheetName val="Для актов сверки"/>
      <sheetName val="Счета от территорий"/>
      <sheetName val="Банк "/>
      <sheetName val="СВОД с расшиф"/>
      <sheetName val="СВОД"/>
      <sheetName val="Лист10"/>
      <sheetName val="для ОБУ"/>
      <sheetName val="сальдо на начало"/>
      <sheetName val="выставленные в отчетном периоде"/>
      <sheetName val="выставленный за предыдущие"/>
      <sheetName val="оплаченная по задолженности"/>
      <sheetName val="оплаченная по выставленным в от"/>
      <sheetName val="оплаченная за предыдущие"/>
      <sheetName val="отклонено по счетам задолженнос"/>
      <sheetName val="отклонено по выставленным"/>
      <sheetName val="отклонено по за предыдущие"/>
      <sheetName val="СВОД "/>
      <sheetName val="Лист16"/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1"/>
      <sheetName val="Лист12"/>
      <sheetName val="Лист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C000"/>
    <pageSetUpPr fitToPage="1"/>
  </sheetPr>
  <dimension ref="A1:H198"/>
  <sheetViews>
    <sheetView workbookViewId="0">
      <selection activeCell="O2" sqref="O2"/>
    </sheetView>
  </sheetViews>
  <sheetFormatPr defaultColWidth="8.85546875" defaultRowHeight="15"/>
  <cols>
    <col min="1" max="1" width="6" style="86" customWidth="1"/>
    <col min="2" max="2" width="39.28515625" style="102" customWidth="1"/>
    <col min="3" max="3" width="25.140625" style="8" customWidth="1"/>
    <col min="4" max="4" width="22.42578125" style="72" customWidth="1"/>
    <col min="5" max="6" width="22.42578125" style="102" customWidth="1"/>
    <col min="7" max="7" width="17.140625" style="102" customWidth="1"/>
    <col min="8" max="8" width="16.42578125" style="102" customWidth="1"/>
    <col min="9" max="16384" width="8.85546875" style="102"/>
  </cols>
  <sheetData>
    <row r="1" spans="1:8" ht="43.9" customHeight="1">
      <c r="A1" s="297" t="s">
        <v>201</v>
      </c>
      <c r="B1" s="297"/>
      <c r="C1" s="297"/>
      <c r="D1" s="297"/>
      <c r="E1" s="297"/>
      <c r="F1" s="297"/>
      <c r="G1" s="297"/>
      <c r="H1" s="297"/>
    </row>
    <row r="2" spans="1:8" ht="87" customHeight="1">
      <c r="A2" s="300" t="s">
        <v>96</v>
      </c>
      <c r="B2" s="300" t="s">
        <v>0</v>
      </c>
      <c r="C2" s="302" t="s">
        <v>202</v>
      </c>
      <c r="D2" s="303"/>
      <c r="E2" s="304" t="s">
        <v>206</v>
      </c>
      <c r="F2" s="305"/>
      <c r="G2" s="298" t="s">
        <v>98</v>
      </c>
      <c r="H2" s="296" t="s">
        <v>105</v>
      </c>
    </row>
    <row r="3" spans="1:8" ht="63" customHeight="1">
      <c r="A3" s="301"/>
      <c r="B3" s="301"/>
      <c r="C3" s="260" t="s">
        <v>94</v>
      </c>
      <c r="D3" s="71" t="s">
        <v>97</v>
      </c>
      <c r="E3" s="28" t="s">
        <v>94</v>
      </c>
      <c r="F3" s="26" t="s">
        <v>97</v>
      </c>
      <c r="G3" s="299"/>
      <c r="H3" s="296"/>
    </row>
    <row r="4" spans="1:8" ht="15" customHeight="1">
      <c r="A4" s="103">
        <v>1</v>
      </c>
      <c r="B4" s="29" t="s">
        <v>1</v>
      </c>
      <c r="C4" s="52">
        <v>149</v>
      </c>
      <c r="D4" s="96">
        <v>893871.59</v>
      </c>
      <c r="E4" s="52">
        <v>30</v>
      </c>
      <c r="F4" s="96">
        <v>122765.56000000001</v>
      </c>
      <c r="G4" s="141">
        <f t="shared" ref="G4:G72" si="0">E4/C4*100-100</f>
        <v>-79.865771812080538</v>
      </c>
      <c r="H4" s="141">
        <f>F4/D4*100-100</f>
        <v>-86.265861744190801</v>
      </c>
    </row>
    <row r="5" spans="1:8" ht="15" customHeight="1">
      <c r="A5" s="103">
        <v>2</v>
      </c>
      <c r="B5" s="29" t="s">
        <v>2</v>
      </c>
      <c r="C5" s="52">
        <v>14</v>
      </c>
      <c r="D5" s="96">
        <v>230978.91999999998</v>
      </c>
      <c r="E5" s="52">
        <v>12</v>
      </c>
      <c r="F5" s="96">
        <v>35002.160000000003</v>
      </c>
      <c r="G5" s="141">
        <f t="shared" si="0"/>
        <v>-14.285714285714292</v>
      </c>
      <c r="H5" s="141">
        <f t="shared" ref="H5:H21" si="1">F5/D5*100-100</f>
        <v>-84.846166914279451</v>
      </c>
    </row>
    <row r="6" spans="1:8" ht="15" customHeight="1">
      <c r="A6" s="103">
        <v>3</v>
      </c>
      <c r="B6" s="29" t="s">
        <v>3</v>
      </c>
      <c r="C6" s="52">
        <v>25</v>
      </c>
      <c r="D6" s="96">
        <v>26515.34</v>
      </c>
      <c r="E6" s="52">
        <v>16</v>
      </c>
      <c r="F6" s="96">
        <v>116346.70000000001</v>
      </c>
      <c r="G6" s="141">
        <f t="shared" si="0"/>
        <v>-36</v>
      </c>
      <c r="H6" s="141">
        <f t="shared" si="1"/>
        <v>338.79014940030947</v>
      </c>
    </row>
    <row r="7" spans="1:8" ht="15" customHeight="1">
      <c r="A7" s="103">
        <v>4</v>
      </c>
      <c r="B7" s="29" t="s">
        <v>4</v>
      </c>
      <c r="C7" s="52">
        <v>64</v>
      </c>
      <c r="D7" s="96">
        <v>846426.58000000007</v>
      </c>
      <c r="E7" s="52">
        <v>46</v>
      </c>
      <c r="F7" s="96">
        <v>243224.45</v>
      </c>
      <c r="G7" s="141">
        <f t="shared" si="0"/>
        <v>-28.125</v>
      </c>
      <c r="H7" s="141">
        <f t="shared" si="1"/>
        <v>-71.264554333820655</v>
      </c>
    </row>
    <row r="8" spans="1:8" ht="15" customHeight="1">
      <c r="A8" s="103">
        <v>5</v>
      </c>
      <c r="B8" s="29" t="s">
        <v>5</v>
      </c>
      <c r="C8" s="52">
        <v>1574</v>
      </c>
      <c r="D8" s="96">
        <v>447942.75</v>
      </c>
      <c r="E8" s="52">
        <v>1357</v>
      </c>
      <c r="F8" s="96">
        <v>4912212.1899999995</v>
      </c>
      <c r="G8" s="141">
        <f t="shared" si="0"/>
        <v>-13.786531130876739</v>
      </c>
      <c r="H8" s="141">
        <f t="shared" si="1"/>
        <v>996.6160720315263</v>
      </c>
    </row>
    <row r="9" spans="1:8" ht="15" customHeight="1">
      <c r="A9" s="103">
        <v>6</v>
      </c>
      <c r="B9" s="29" t="s">
        <v>6</v>
      </c>
      <c r="C9" s="52">
        <v>17</v>
      </c>
      <c r="D9" s="96">
        <v>150219.72</v>
      </c>
      <c r="E9" s="52">
        <v>13</v>
      </c>
      <c r="F9" s="96">
        <v>155083.36000000002</v>
      </c>
      <c r="G9" s="141">
        <f t="shared" si="0"/>
        <v>-23.529411764705884</v>
      </c>
      <c r="H9" s="141">
        <f t="shared" si="1"/>
        <v>3.2376841069867766</v>
      </c>
    </row>
    <row r="10" spans="1:8" ht="15" customHeight="1">
      <c r="A10" s="103">
        <v>7</v>
      </c>
      <c r="B10" s="29" t="s">
        <v>7</v>
      </c>
      <c r="C10" s="52">
        <v>30</v>
      </c>
      <c r="D10" s="96">
        <v>320598.07999999996</v>
      </c>
      <c r="E10" s="52">
        <v>8</v>
      </c>
      <c r="F10" s="96">
        <v>26504.239999999998</v>
      </c>
      <c r="G10" s="141">
        <f t="shared" si="0"/>
        <v>-73.333333333333329</v>
      </c>
      <c r="H10" s="141">
        <f t="shared" si="1"/>
        <v>-91.732876254280754</v>
      </c>
    </row>
    <row r="11" spans="1:8" ht="15" customHeight="1">
      <c r="A11" s="103">
        <v>8</v>
      </c>
      <c r="B11" s="29" t="s">
        <v>8</v>
      </c>
      <c r="C11" s="52">
        <v>9</v>
      </c>
      <c r="D11" s="96">
        <v>0</v>
      </c>
      <c r="E11" s="52">
        <v>5</v>
      </c>
      <c r="F11" s="96">
        <v>17541.330000000002</v>
      </c>
      <c r="G11" s="141">
        <f t="shared" si="0"/>
        <v>-44.444444444444443</v>
      </c>
      <c r="H11" s="141"/>
    </row>
    <row r="12" spans="1:8" ht="15" customHeight="1">
      <c r="A12" s="103">
        <v>9</v>
      </c>
      <c r="B12" s="29" t="s">
        <v>9</v>
      </c>
      <c r="C12" s="52">
        <v>16</v>
      </c>
      <c r="D12" s="96">
        <v>0</v>
      </c>
      <c r="E12" s="52">
        <v>12</v>
      </c>
      <c r="F12" s="96">
        <v>132055.75</v>
      </c>
      <c r="G12" s="141">
        <f t="shared" si="0"/>
        <v>-25</v>
      </c>
      <c r="H12" s="141"/>
    </row>
    <row r="13" spans="1:8" ht="15" customHeight="1">
      <c r="A13" s="103">
        <v>10</v>
      </c>
      <c r="B13" s="29" t="s">
        <v>10</v>
      </c>
      <c r="C13" s="52">
        <v>73</v>
      </c>
      <c r="D13" s="96">
        <v>1379662.84</v>
      </c>
      <c r="E13" s="52">
        <v>71</v>
      </c>
      <c r="F13" s="96">
        <v>1009761.5</v>
      </c>
      <c r="G13" s="141">
        <f t="shared" si="0"/>
        <v>-2.7397260273972535</v>
      </c>
      <c r="H13" s="141">
        <f t="shared" si="1"/>
        <v>-26.810995358837104</v>
      </c>
    </row>
    <row r="14" spans="1:8" ht="15" customHeight="1">
      <c r="A14" s="103">
        <v>11</v>
      </c>
      <c r="B14" s="29" t="s">
        <v>11</v>
      </c>
      <c r="C14" s="52">
        <v>912</v>
      </c>
      <c r="D14" s="96">
        <v>4976682.79</v>
      </c>
      <c r="E14" s="52">
        <v>792</v>
      </c>
      <c r="F14" s="96">
        <v>2101390.94</v>
      </c>
      <c r="G14" s="141">
        <f t="shared" si="0"/>
        <v>-13.157894736842096</v>
      </c>
      <c r="H14" s="141">
        <f t="shared" si="1"/>
        <v>-57.775268614216827</v>
      </c>
    </row>
    <row r="15" spans="1:8" ht="15" customHeight="1">
      <c r="A15" s="103">
        <v>12</v>
      </c>
      <c r="B15" s="29" t="s">
        <v>12</v>
      </c>
      <c r="C15" s="52">
        <v>16</v>
      </c>
      <c r="D15" s="96">
        <v>72120.590000000011</v>
      </c>
      <c r="E15" s="52">
        <v>13</v>
      </c>
      <c r="F15" s="96">
        <v>225757.28000000003</v>
      </c>
      <c r="G15" s="141">
        <f t="shared" si="0"/>
        <v>-18.75</v>
      </c>
      <c r="H15" s="141">
        <f t="shared" si="1"/>
        <v>213.02750019099955</v>
      </c>
    </row>
    <row r="16" spans="1:8" ht="15" customHeight="1">
      <c r="A16" s="103">
        <v>13</v>
      </c>
      <c r="B16" s="29" t="s">
        <v>13</v>
      </c>
      <c r="C16" s="52">
        <v>67</v>
      </c>
      <c r="D16" s="96">
        <v>542422.89</v>
      </c>
      <c r="E16" s="52">
        <v>75</v>
      </c>
      <c r="F16" s="96">
        <v>260486.63</v>
      </c>
      <c r="G16" s="141">
        <f t="shared" si="0"/>
        <v>11.940298507462671</v>
      </c>
      <c r="H16" s="141">
        <f t="shared" si="1"/>
        <v>-51.977205460484896</v>
      </c>
    </row>
    <row r="17" spans="1:8" ht="15" customHeight="1">
      <c r="A17" s="103">
        <v>14</v>
      </c>
      <c r="B17" s="29" t="s">
        <v>14</v>
      </c>
      <c r="C17" s="52">
        <v>16</v>
      </c>
      <c r="D17" s="96">
        <v>86784.75</v>
      </c>
      <c r="E17" s="52">
        <v>9</v>
      </c>
      <c r="F17" s="96">
        <v>73909.710000000006</v>
      </c>
      <c r="G17" s="141">
        <f t="shared" si="0"/>
        <v>-43.75</v>
      </c>
      <c r="H17" s="141">
        <f t="shared" si="1"/>
        <v>-14.835601877057897</v>
      </c>
    </row>
    <row r="18" spans="1:8" ht="15" customHeight="1">
      <c r="A18" s="103">
        <v>15</v>
      </c>
      <c r="B18" s="29" t="s">
        <v>15</v>
      </c>
      <c r="C18" s="52">
        <v>371</v>
      </c>
      <c r="D18" s="96">
        <v>1879104.33</v>
      </c>
      <c r="E18" s="52">
        <v>348</v>
      </c>
      <c r="F18" s="96">
        <v>2261108.36</v>
      </c>
      <c r="G18" s="141">
        <f t="shared" si="0"/>
        <v>-6.1994609164420496</v>
      </c>
      <c r="H18" s="141">
        <f t="shared" si="1"/>
        <v>20.329048467468525</v>
      </c>
    </row>
    <row r="19" spans="1:8" ht="15" customHeight="1">
      <c r="A19" s="103">
        <v>16</v>
      </c>
      <c r="B19" s="29" t="s">
        <v>16</v>
      </c>
      <c r="C19" s="52">
        <v>22</v>
      </c>
      <c r="D19" s="96">
        <v>39161.599999999999</v>
      </c>
      <c r="E19" s="52">
        <v>11</v>
      </c>
      <c r="F19" s="96">
        <v>139168.1</v>
      </c>
      <c r="G19" s="141">
        <f t="shared" si="0"/>
        <v>-50</v>
      </c>
      <c r="H19" s="141">
        <f t="shared" si="1"/>
        <v>255.3687796208531</v>
      </c>
    </row>
    <row r="20" spans="1:8" ht="15" customHeight="1">
      <c r="A20" s="103">
        <v>17</v>
      </c>
      <c r="B20" s="29" t="s">
        <v>17</v>
      </c>
      <c r="C20" s="52">
        <v>21</v>
      </c>
      <c r="D20" s="96">
        <v>160979.10999999999</v>
      </c>
      <c r="E20" s="52">
        <v>13</v>
      </c>
      <c r="F20" s="96">
        <v>119732.51999999999</v>
      </c>
      <c r="G20" s="141">
        <f t="shared" si="0"/>
        <v>-38.095238095238095</v>
      </c>
      <c r="H20" s="141">
        <f t="shared" si="1"/>
        <v>-25.622324536394814</v>
      </c>
    </row>
    <row r="21" spans="1:8" ht="15" customHeight="1">
      <c r="A21" s="103">
        <v>18</v>
      </c>
      <c r="B21" s="29" t="s">
        <v>18</v>
      </c>
      <c r="C21" s="52">
        <v>10</v>
      </c>
      <c r="D21" s="96">
        <v>90313.12000000001</v>
      </c>
      <c r="E21" s="52">
        <v>8</v>
      </c>
      <c r="F21" s="96">
        <v>208705.26</v>
      </c>
      <c r="G21" s="141">
        <f t="shared" si="0"/>
        <v>-20</v>
      </c>
      <c r="H21" s="141">
        <f t="shared" si="1"/>
        <v>131.09074296181996</v>
      </c>
    </row>
    <row r="22" spans="1:8" ht="15" customHeight="1">
      <c r="A22" s="105"/>
      <c r="B22" s="19" t="s">
        <v>19</v>
      </c>
      <c r="C22" s="49">
        <f>SUM(C4:C21)</f>
        <v>3406</v>
      </c>
      <c r="D22" s="170">
        <f>SUM(D4:D21)</f>
        <v>12143784.999999998</v>
      </c>
      <c r="E22" s="194">
        <f>SUM(E4:E21)</f>
        <v>2839</v>
      </c>
      <c r="F22" s="170">
        <f>SUM(F4:F21)</f>
        <v>12160756.039999999</v>
      </c>
      <c r="G22" s="142">
        <f t="shared" si="0"/>
        <v>-16.647093364650615</v>
      </c>
      <c r="H22" s="281">
        <f>F22/D22*100-100</f>
        <v>0.13975082727502297</v>
      </c>
    </row>
    <row r="23" spans="1:8" ht="15" customHeight="1">
      <c r="A23" s="103">
        <v>19</v>
      </c>
      <c r="B23" s="29" t="s">
        <v>20</v>
      </c>
      <c r="C23" s="52">
        <v>21</v>
      </c>
      <c r="D23" s="96">
        <v>51231.199999999997</v>
      </c>
      <c r="E23" s="52">
        <v>11</v>
      </c>
      <c r="F23" s="96">
        <v>45472.45</v>
      </c>
      <c r="G23" s="141">
        <f t="shared" si="0"/>
        <v>-47.619047619047613</v>
      </c>
      <c r="H23" s="143">
        <f t="shared" ref="H23:H33" si="2">F23/D23*100-100</f>
        <v>-11.240708786833025</v>
      </c>
    </row>
    <row r="24" spans="1:8" ht="15" customHeight="1">
      <c r="A24" s="103">
        <v>20</v>
      </c>
      <c r="B24" s="29" t="s">
        <v>21</v>
      </c>
      <c r="C24" s="52">
        <v>5</v>
      </c>
      <c r="D24" s="96">
        <v>63634.880000000005</v>
      </c>
      <c r="E24" s="52">
        <v>3</v>
      </c>
      <c r="F24" s="96">
        <v>7848.04</v>
      </c>
      <c r="G24" s="141">
        <f t="shared" si="0"/>
        <v>-40</v>
      </c>
      <c r="H24" s="143">
        <f t="shared" si="2"/>
        <v>-87.667078181022731</v>
      </c>
    </row>
    <row r="25" spans="1:8" ht="15" customHeight="1">
      <c r="A25" s="103">
        <v>21</v>
      </c>
      <c r="B25" s="29" t="s">
        <v>22</v>
      </c>
      <c r="C25" s="52">
        <v>259</v>
      </c>
      <c r="D25" s="96">
        <v>1764518.54</v>
      </c>
      <c r="E25" s="52">
        <v>201</v>
      </c>
      <c r="F25" s="96">
        <v>1007273.76</v>
      </c>
      <c r="G25" s="141">
        <f t="shared" si="0"/>
        <v>-22.39382239382239</v>
      </c>
      <c r="H25" s="143">
        <f t="shared" si="2"/>
        <v>-42.915093428261741</v>
      </c>
    </row>
    <row r="26" spans="1:8" ht="15" customHeight="1">
      <c r="A26" s="103">
        <v>22</v>
      </c>
      <c r="B26" s="29" t="s">
        <v>23</v>
      </c>
      <c r="C26" s="52">
        <v>21</v>
      </c>
      <c r="D26" s="96">
        <v>140715.01</v>
      </c>
      <c r="E26" s="52">
        <v>11</v>
      </c>
      <c r="F26" s="96">
        <v>103233.69</v>
      </c>
      <c r="G26" s="141">
        <f t="shared" si="0"/>
        <v>-47.619047619047613</v>
      </c>
      <c r="H26" s="143">
        <f t="shared" si="2"/>
        <v>-26.63633396323533</v>
      </c>
    </row>
    <row r="27" spans="1:8" ht="15" customHeight="1">
      <c r="A27" s="103">
        <v>23</v>
      </c>
      <c r="B27" s="29" t="s">
        <v>24</v>
      </c>
      <c r="C27" s="52">
        <v>48</v>
      </c>
      <c r="D27" s="96">
        <v>228708.89</v>
      </c>
      <c r="E27" s="52">
        <v>32</v>
      </c>
      <c r="F27" s="96">
        <v>115931.94</v>
      </c>
      <c r="G27" s="141">
        <f t="shared" si="0"/>
        <v>-33.333333333333343</v>
      </c>
      <c r="H27" s="143">
        <f t="shared" si="2"/>
        <v>-49.310260742378667</v>
      </c>
    </row>
    <row r="28" spans="1:8" ht="15" customHeight="1">
      <c r="A28" s="103">
        <v>24</v>
      </c>
      <c r="B28" s="29" t="s">
        <v>25</v>
      </c>
      <c r="C28" s="52">
        <v>42</v>
      </c>
      <c r="D28" s="96">
        <v>461460.51999999996</v>
      </c>
      <c r="E28" s="52">
        <v>54</v>
      </c>
      <c r="F28" s="96">
        <v>383908.06</v>
      </c>
      <c r="G28" s="141">
        <f t="shared" si="0"/>
        <v>28.571428571428584</v>
      </c>
      <c r="H28" s="143">
        <f t="shared" si="2"/>
        <v>-16.805871063466043</v>
      </c>
    </row>
    <row r="29" spans="1:8" ht="15" customHeight="1">
      <c r="A29" s="103">
        <v>25</v>
      </c>
      <c r="B29" s="29" t="s">
        <v>26</v>
      </c>
      <c r="C29" s="52">
        <v>4</v>
      </c>
      <c r="D29" s="96">
        <v>63139.790000000008</v>
      </c>
      <c r="E29" s="52">
        <v>1</v>
      </c>
      <c r="F29" s="96">
        <v>779.27</v>
      </c>
      <c r="G29" s="141">
        <f t="shared" si="0"/>
        <v>-75</v>
      </c>
      <c r="H29" s="143">
        <f t="shared" si="2"/>
        <v>-98.76580204020317</v>
      </c>
    </row>
    <row r="30" spans="1:8" ht="15" customHeight="1">
      <c r="A30" s="103">
        <v>26</v>
      </c>
      <c r="B30" s="29" t="s">
        <v>27</v>
      </c>
      <c r="C30" s="52">
        <v>7</v>
      </c>
      <c r="D30" s="96">
        <v>13080.580000000002</v>
      </c>
      <c r="E30" s="52">
        <v>5</v>
      </c>
      <c r="F30" s="96">
        <v>1655.9</v>
      </c>
      <c r="G30" s="141">
        <f t="shared" si="0"/>
        <v>-28.571428571428569</v>
      </c>
      <c r="H30" s="143">
        <f t="shared" si="2"/>
        <v>-87.340775409041498</v>
      </c>
    </row>
    <row r="31" spans="1:8" ht="15" customHeight="1">
      <c r="A31" s="103">
        <v>27</v>
      </c>
      <c r="B31" s="29" t="s">
        <v>28</v>
      </c>
      <c r="C31" s="52">
        <v>7</v>
      </c>
      <c r="D31" s="96">
        <v>19600.95</v>
      </c>
      <c r="E31" s="52">
        <v>10</v>
      </c>
      <c r="F31" s="96">
        <v>23771.72</v>
      </c>
      <c r="G31" s="141">
        <f t="shared" si="0"/>
        <v>42.857142857142861</v>
      </c>
      <c r="H31" s="143">
        <f t="shared" si="2"/>
        <v>21.278407424129966</v>
      </c>
    </row>
    <row r="32" spans="1:8" ht="15" customHeight="1">
      <c r="A32" s="103">
        <v>28</v>
      </c>
      <c r="B32" s="29" t="s">
        <v>29</v>
      </c>
      <c r="C32" s="52">
        <v>1</v>
      </c>
      <c r="D32" s="96">
        <v>11356.53</v>
      </c>
      <c r="E32" s="52">
        <v>4</v>
      </c>
      <c r="F32" s="96">
        <v>3226.9300000000003</v>
      </c>
      <c r="G32" s="141">
        <f t="shared" si="0"/>
        <v>300</v>
      </c>
      <c r="H32" s="143">
        <f t="shared" si="2"/>
        <v>-71.585246549782369</v>
      </c>
    </row>
    <row r="33" spans="1:8" ht="15" customHeight="1">
      <c r="A33" s="103">
        <v>29</v>
      </c>
      <c r="B33" s="29" t="s">
        <v>30</v>
      </c>
      <c r="C33" s="52">
        <v>25</v>
      </c>
      <c r="D33" s="96">
        <v>160158.21</v>
      </c>
      <c r="E33" s="52">
        <v>16</v>
      </c>
      <c r="F33" s="96">
        <v>73411.040000000008</v>
      </c>
      <c r="G33" s="141">
        <f t="shared" si="0"/>
        <v>-36</v>
      </c>
      <c r="H33" s="143">
        <f t="shared" si="2"/>
        <v>-54.163423779524003</v>
      </c>
    </row>
    <row r="34" spans="1:8" ht="15" customHeight="1">
      <c r="A34" s="105"/>
      <c r="B34" s="19" t="s">
        <v>31</v>
      </c>
      <c r="C34" s="49">
        <f>SUM(C23:C33)</f>
        <v>440</v>
      </c>
      <c r="D34" s="100">
        <f>SUM(D23:D33)</f>
        <v>2977605.1</v>
      </c>
      <c r="E34" s="194">
        <f>SUM(E23:E33)</f>
        <v>348</v>
      </c>
      <c r="F34" s="100">
        <f>SUM(F23:F33)</f>
        <v>1766512.7999999998</v>
      </c>
      <c r="G34" s="142">
        <f t="shared" si="0"/>
        <v>-20.909090909090907</v>
      </c>
      <c r="H34" s="142">
        <f>F34/D34*100-100</f>
        <v>-40.673368674711107</v>
      </c>
    </row>
    <row r="35" spans="1:8" ht="15" customHeight="1">
      <c r="A35" s="14">
        <v>30</v>
      </c>
      <c r="B35" s="29" t="s">
        <v>32</v>
      </c>
      <c r="C35" s="52">
        <v>22</v>
      </c>
      <c r="D35" s="171">
        <v>154322.06</v>
      </c>
      <c r="E35" s="52">
        <v>32</v>
      </c>
      <c r="F35" s="96">
        <v>289095.63</v>
      </c>
      <c r="G35" s="141">
        <f t="shared" si="0"/>
        <v>45.454545454545467</v>
      </c>
      <c r="H35" s="141">
        <f>F35/D35*100-100</f>
        <v>87.332666502767012</v>
      </c>
    </row>
    <row r="36" spans="1:8" ht="15" customHeight="1">
      <c r="A36" s="14">
        <v>31</v>
      </c>
      <c r="B36" s="29" t="s">
        <v>33</v>
      </c>
      <c r="C36" s="52">
        <v>89</v>
      </c>
      <c r="D36" s="171">
        <v>4280625.8900000006</v>
      </c>
      <c r="E36" s="52">
        <v>69</v>
      </c>
      <c r="F36" s="96">
        <v>933428.22</v>
      </c>
      <c r="G36" s="141">
        <f t="shared" si="0"/>
        <v>-22.471910112359552</v>
      </c>
      <c r="H36" s="141">
        <f t="shared" ref="H36:H54" si="3">F36/D36*100-100</f>
        <v>-78.194118243769253</v>
      </c>
    </row>
    <row r="37" spans="1:8" ht="15" customHeight="1">
      <c r="A37" s="14">
        <v>32</v>
      </c>
      <c r="B37" s="106" t="s">
        <v>34</v>
      </c>
      <c r="C37" s="52">
        <v>130</v>
      </c>
      <c r="D37" s="171">
        <v>891839.55999999994</v>
      </c>
      <c r="E37" s="52">
        <v>109</v>
      </c>
      <c r="F37" s="96">
        <v>761707.10000000009</v>
      </c>
      <c r="G37" s="141">
        <f t="shared" si="0"/>
        <v>-16.153846153846146</v>
      </c>
      <c r="H37" s="141">
        <f t="shared" si="3"/>
        <v>-14.591465307952916</v>
      </c>
    </row>
    <row r="38" spans="1:8" ht="15" customHeight="1">
      <c r="A38" s="14">
        <v>33</v>
      </c>
      <c r="B38" s="106" t="s">
        <v>35</v>
      </c>
      <c r="C38" s="52">
        <v>6</v>
      </c>
      <c r="D38" s="171">
        <v>28679.01</v>
      </c>
      <c r="E38" s="52">
        <v>3</v>
      </c>
      <c r="F38" s="96">
        <v>63656.75</v>
      </c>
      <c r="G38" s="141">
        <f t="shared" si="0"/>
        <v>-50</v>
      </c>
      <c r="H38" s="141">
        <f t="shared" si="3"/>
        <v>121.96285715580836</v>
      </c>
    </row>
    <row r="39" spans="1:8" ht="15" customHeight="1">
      <c r="A39" s="14">
        <v>34</v>
      </c>
      <c r="B39" s="106" t="s">
        <v>36</v>
      </c>
      <c r="C39" s="52">
        <v>4</v>
      </c>
      <c r="D39" s="171">
        <v>0</v>
      </c>
      <c r="E39" s="52">
        <v>1</v>
      </c>
      <c r="F39" s="96">
        <v>0</v>
      </c>
      <c r="G39" s="141">
        <f t="shared" si="0"/>
        <v>-75</v>
      </c>
      <c r="H39" s="141"/>
    </row>
    <row r="40" spans="1:8" ht="15" customHeight="1">
      <c r="A40" s="14">
        <v>35</v>
      </c>
      <c r="B40" s="106" t="s">
        <v>37</v>
      </c>
      <c r="C40" s="52">
        <v>66</v>
      </c>
      <c r="D40" s="171">
        <v>351645.7</v>
      </c>
      <c r="E40" s="52">
        <v>65</v>
      </c>
      <c r="F40" s="96">
        <v>455091.76</v>
      </c>
      <c r="G40" s="141">
        <f t="shared" si="0"/>
        <v>-1.5151515151515156</v>
      </c>
      <c r="H40" s="141">
        <f t="shared" si="3"/>
        <v>29.417695140307416</v>
      </c>
    </row>
    <row r="41" spans="1:8">
      <c r="A41" s="14">
        <v>36</v>
      </c>
      <c r="B41" s="29" t="s">
        <v>102</v>
      </c>
      <c r="C41" s="52">
        <v>33</v>
      </c>
      <c r="D41" s="171">
        <v>257719.86</v>
      </c>
      <c r="E41" s="52">
        <v>20</v>
      </c>
      <c r="F41" s="96">
        <v>51010.159999999996</v>
      </c>
      <c r="G41" s="141">
        <f t="shared" si="0"/>
        <v>-39.393939393939391</v>
      </c>
      <c r="H41" s="141">
        <f t="shared" si="3"/>
        <v>-80.207128779287714</v>
      </c>
    </row>
    <row r="42" spans="1:8" ht="15" customHeight="1">
      <c r="A42" s="14">
        <v>37</v>
      </c>
      <c r="B42" s="29" t="s">
        <v>103</v>
      </c>
      <c r="C42" s="52">
        <v>14</v>
      </c>
      <c r="D42" s="171">
        <v>31943.13</v>
      </c>
      <c r="E42" s="52">
        <v>7</v>
      </c>
      <c r="F42" s="96">
        <v>71521.31</v>
      </c>
      <c r="G42" s="141">
        <f t="shared" si="0"/>
        <v>-50</v>
      </c>
      <c r="H42" s="141">
        <f t="shared" si="3"/>
        <v>123.90200960269078</v>
      </c>
    </row>
    <row r="43" spans="1:8" ht="15" customHeight="1">
      <c r="A43" s="14">
        <v>38</v>
      </c>
      <c r="B43" s="17" t="s">
        <v>155</v>
      </c>
      <c r="C43" s="261">
        <v>0</v>
      </c>
      <c r="D43" s="259">
        <v>0</v>
      </c>
      <c r="E43" s="52">
        <v>8</v>
      </c>
      <c r="F43" s="96">
        <v>0</v>
      </c>
      <c r="G43" s="141"/>
      <c r="H43" s="141"/>
    </row>
    <row r="44" spans="1:8" ht="15" customHeight="1">
      <c r="A44" s="14">
        <v>39</v>
      </c>
      <c r="B44" s="17" t="s">
        <v>157</v>
      </c>
      <c r="C44" s="52">
        <v>0</v>
      </c>
      <c r="D44" s="96">
        <v>0</v>
      </c>
      <c r="E44" s="52">
        <v>2</v>
      </c>
      <c r="F44" s="96">
        <v>0</v>
      </c>
      <c r="G44" s="141"/>
      <c r="H44" s="141"/>
    </row>
    <row r="45" spans="1:8" ht="15" customHeight="1">
      <c r="A45" s="14">
        <v>40</v>
      </c>
      <c r="B45" s="17" t="s">
        <v>156</v>
      </c>
      <c r="C45" s="52">
        <v>0</v>
      </c>
      <c r="D45" s="96">
        <v>0</v>
      </c>
      <c r="E45" s="52">
        <v>4</v>
      </c>
      <c r="F45" s="96">
        <v>0</v>
      </c>
      <c r="G45" s="141"/>
      <c r="H45" s="141"/>
    </row>
    <row r="46" spans="1:8" ht="15" customHeight="1">
      <c r="A46" s="14">
        <v>41</v>
      </c>
      <c r="B46" s="17" t="s">
        <v>158</v>
      </c>
      <c r="C46" s="52">
        <v>0</v>
      </c>
      <c r="D46" s="96">
        <v>0</v>
      </c>
      <c r="E46" s="52">
        <v>0</v>
      </c>
      <c r="F46" s="96">
        <v>0</v>
      </c>
      <c r="G46" s="141"/>
      <c r="H46" s="141"/>
    </row>
    <row r="47" spans="1:8" ht="15" customHeight="1">
      <c r="A47" s="105"/>
      <c r="B47" s="19" t="s">
        <v>38</v>
      </c>
      <c r="C47" s="53">
        <f>SUM(C35:C46)</f>
        <v>364</v>
      </c>
      <c r="D47" s="100">
        <f>SUM(D35:D46)</f>
        <v>5996775.21</v>
      </c>
      <c r="E47" s="49">
        <f>SUM(E35:E45)</f>
        <v>320</v>
      </c>
      <c r="F47" s="170">
        <f>SUM(F35:F46)</f>
        <v>2625510.9300000002</v>
      </c>
      <c r="G47" s="142">
        <f t="shared" si="0"/>
        <v>-12.087912087912088</v>
      </c>
      <c r="H47" s="142">
        <f>F47/D47*100-100</f>
        <v>-56.217953182207069</v>
      </c>
    </row>
    <row r="48" spans="1:8" ht="15" customHeight="1">
      <c r="A48" s="103">
        <v>42</v>
      </c>
      <c r="B48" s="106" t="s">
        <v>39</v>
      </c>
      <c r="C48" s="52">
        <v>3</v>
      </c>
      <c r="D48" s="96">
        <v>28418.41</v>
      </c>
      <c r="E48" s="52">
        <v>6</v>
      </c>
      <c r="F48" s="96">
        <v>12564.089999999998</v>
      </c>
      <c r="G48" s="141">
        <f t="shared" si="0"/>
        <v>100</v>
      </c>
      <c r="H48" s="141">
        <f t="shared" si="3"/>
        <v>-55.788905853635022</v>
      </c>
    </row>
    <row r="49" spans="1:8" ht="15" customHeight="1">
      <c r="A49" s="103">
        <v>43</v>
      </c>
      <c r="B49" s="106" t="s">
        <v>40</v>
      </c>
      <c r="C49" s="52">
        <v>4</v>
      </c>
      <c r="D49" s="96">
        <v>2451.13</v>
      </c>
      <c r="E49" s="52">
        <v>3</v>
      </c>
      <c r="F49" s="96">
        <v>1983.52</v>
      </c>
      <c r="G49" s="141">
        <f t="shared" si="0"/>
        <v>-25</v>
      </c>
      <c r="H49" s="141">
        <f t="shared" si="3"/>
        <v>-19.077323520172328</v>
      </c>
    </row>
    <row r="50" spans="1:8" ht="15" customHeight="1">
      <c r="A50" s="103">
        <v>44</v>
      </c>
      <c r="B50" s="29" t="s">
        <v>41</v>
      </c>
      <c r="C50" s="52">
        <v>16</v>
      </c>
      <c r="D50" s="96">
        <v>142540.28999999998</v>
      </c>
      <c r="E50" s="52">
        <v>16</v>
      </c>
      <c r="F50" s="96">
        <v>151157.03</v>
      </c>
      <c r="G50" s="141">
        <f t="shared" si="0"/>
        <v>0</v>
      </c>
      <c r="H50" s="141">
        <f t="shared" si="3"/>
        <v>6.0451259079099771</v>
      </c>
    </row>
    <row r="51" spans="1:8" ht="15" customHeight="1">
      <c r="A51" s="103">
        <v>45</v>
      </c>
      <c r="B51" s="29" t="s">
        <v>42</v>
      </c>
      <c r="C51" s="52">
        <v>3</v>
      </c>
      <c r="D51" s="96">
        <v>15560.240000000002</v>
      </c>
      <c r="E51" s="52">
        <v>1</v>
      </c>
      <c r="F51" s="96">
        <v>7528.8099999999995</v>
      </c>
      <c r="G51" s="141">
        <f t="shared" si="0"/>
        <v>-66.666666666666671</v>
      </c>
      <c r="H51" s="141">
        <f t="shared" si="3"/>
        <v>-51.615077916536002</v>
      </c>
    </row>
    <row r="52" spans="1:8" ht="27.75" customHeight="1">
      <c r="A52" s="103">
        <v>46</v>
      </c>
      <c r="B52" s="193" t="s">
        <v>43</v>
      </c>
      <c r="C52" s="52">
        <v>4</v>
      </c>
      <c r="D52" s="96">
        <v>69089.91</v>
      </c>
      <c r="E52" s="52">
        <v>5</v>
      </c>
      <c r="F52" s="96">
        <v>48940.47</v>
      </c>
      <c r="G52" s="141">
        <f t="shared" si="0"/>
        <v>25</v>
      </c>
      <c r="H52" s="141">
        <f t="shared" si="3"/>
        <v>-29.164084885911706</v>
      </c>
    </row>
    <row r="53" spans="1:8" ht="15" customHeight="1">
      <c r="A53" s="103">
        <v>47</v>
      </c>
      <c r="B53" s="29" t="s">
        <v>44</v>
      </c>
      <c r="C53" s="52">
        <v>20</v>
      </c>
      <c r="D53" s="96">
        <v>48159.100000000006</v>
      </c>
      <c r="E53" s="52">
        <v>26</v>
      </c>
      <c r="F53" s="96">
        <v>197746</v>
      </c>
      <c r="G53" s="141">
        <f t="shared" si="0"/>
        <v>30</v>
      </c>
      <c r="H53" s="141">
        <f t="shared" si="3"/>
        <v>310.60983282494891</v>
      </c>
    </row>
    <row r="54" spans="1:8" ht="15" customHeight="1">
      <c r="A54" s="103">
        <v>48</v>
      </c>
      <c r="B54" s="29" t="s">
        <v>45</v>
      </c>
      <c r="C54" s="52">
        <v>13</v>
      </c>
      <c r="D54" s="96">
        <v>175295.83000000002</v>
      </c>
      <c r="E54" s="52">
        <v>11</v>
      </c>
      <c r="F54" s="96">
        <v>159986.57</v>
      </c>
      <c r="G54" s="141">
        <f t="shared" si="0"/>
        <v>-15.384615384615387</v>
      </c>
      <c r="H54" s="141">
        <f t="shared" si="3"/>
        <v>-8.7333851581067279</v>
      </c>
    </row>
    <row r="55" spans="1:8" ht="15" customHeight="1">
      <c r="A55" s="105"/>
      <c r="B55" s="19" t="s">
        <v>46</v>
      </c>
      <c r="C55" s="49">
        <f>SUM(C48:C54)</f>
        <v>63</v>
      </c>
      <c r="D55" s="170">
        <f>SUM(D48:D54)</f>
        <v>481514.91</v>
      </c>
      <c r="E55" s="49">
        <f>SUM(E48:E54)</f>
        <v>68</v>
      </c>
      <c r="F55" s="170">
        <f>SUM(F48:F54)</f>
        <v>579906.49</v>
      </c>
      <c r="G55" s="142">
        <f t="shared" si="0"/>
        <v>7.9365079365079367</v>
      </c>
      <c r="H55" s="142">
        <f>F55/D55*100-100</f>
        <v>20.433755623475918</v>
      </c>
    </row>
    <row r="56" spans="1:8" ht="15" customHeight="1">
      <c r="A56" s="103">
        <v>49</v>
      </c>
      <c r="B56" s="29" t="s">
        <v>47</v>
      </c>
      <c r="C56" s="52">
        <v>13</v>
      </c>
      <c r="D56" s="96">
        <v>23743.49</v>
      </c>
      <c r="E56" s="52">
        <v>12</v>
      </c>
      <c r="F56" s="96">
        <v>34149.29</v>
      </c>
      <c r="G56" s="141">
        <f t="shared" si="0"/>
        <v>-7.6923076923076934</v>
      </c>
      <c r="H56" s="143">
        <f t="shared" ref="H56:H99" si="4">F56/D56*100-100</f>
        <v>43.825907648791315</v>
      </c>
    </row>
    <row r="57" spans="1:8" ht="15" customHeight="1">
      <c r="A57" s="103">
        <v>50</v>
      </c>
      <c r="B57" s="29" t="s">
        <v>48</v>
      </c>
      <c r="C57" s="52">
        <v>99</v>
      </c>
      <c r="D57" s="96">
        <v>780041.21</v>
      </c>
      <c r="E57" s="52">
        <v>74</v>
      </c>
      <c r="F57" s="96">
        <v>335064.95999999996</v>
      </c>
      <c r="G57" s="141">
        <f t="shared" si="0"/>
        <v>-25.252525252525245</v>
      </c>
      <c r="H57" s="143">
        <f t="shared" si="4"/>
        <v>-57.045223290190016</v>
      </c>
    </row>
    <row r="58" spans="1:8" ht="15" customHeight="1">
      <c r="A58" s="103">
        <v>51</v>
      </c>
      <c r="B58" s="29" t="s">
        <v>49</v>
      </c>
      <c r="C58" s="52">
        <v>61</v>
      </c>
      <c r="D58" s="96">
        <v>695492.88</v>
      </c>
      <c r="E58" s="52">
        <v>58</v>
      </c>
      <c r="F58" s="96">
        <v>320635.46999999997</v>
      </c>
      <c r="G58" s="141">
        <f t="shared" si="0"/>
        <v>-4.9180327868852487</v>
      </c>
      <c r="H58" s="143">
        <f t="shared" si="4"/>
        <v>-53.898094542678862</v>
      </c>
    </row>
    <row r="59" spans="1:8" ht="15" customHeight="1">
      <c r="A59" s="103">
        <v>52</v>
      </c>
      <c r="B59" s="29" t="s">
        <v>50</v>
      </c>
      <c r="C59" s="52"/>
      <c r="D59" s="96">
        <v>0</v>
      </c>
      <c r="E59" s="52"/>
      <c r="F59" s="96">
        <v>0</v>
      </c>
      <c r="G59" s="141"/>
      <c r="H59" s="143">
        <v>0</v>
      </c>
    </row>
    <row r="60" spans="1:8" ht="15" customHeight="1">
      <c r="A60" s="103">
        <v>53</v>
      </c>
      <c r="B60" s="29" t="s">
        <v>51</v>
      </c>
      <c r="C60" s="52">
        <v>22</v>
      </c>
      <c r="D60" s="96">
        <v>103464.95000000001</v>
      </c>
      <c r="E60" s="52">
        <v>13</v>
      </c>
      <c r="F60" s="96">
        <v>87384.889999999985</v>
      </c>
      <c r="G60" s="141">
        <f t="shared" si="0"/>
        <v>-40.909090909090907</v>
      </c>
      <c r="H60" s="143">
        <f t="shared" si="4"/>
        <v>-15.541552960688648</v>
      </c>
    </row>
    <row r="61" spans="1:8" ht="15" customHeight="1">
      <c r="A61" s="103">
        <v>54</v>
      </c>
      <c r="B61" s="29" t="s">
        <v>52</v>
      </c>
      <c r="C61" s="52">
        <v>37</v>
      </c>
      <c r="D61" s="96">
        <v>499781.16999999993</v>
      </c>
      <c r="E61" s="52">
        <v>33</v>
      </c>
      <c r="F61" s="96">
        <v>142304.56</v>
      </c>
      <c r="G61" s="141">
        <f t="shared" si="0"/>
        <v>-10.810810810810807</v>
      </c>
      <c r="H61" s="143">
        <f t="shared" si="4"/>
        <v>-71.5266263432854</v>
      </c>
    </row>
    <row r="62" spans="1:8" ht="15" customHeight="1">
      <c r="A62" s="103">
        <v>55</v>
      </c>
      <c r="B62" s="29" t="s">
        <v>53</v>
      </c>
      <c r="C62" s="52">
        <v>92</v>
      </c>
      <c r="D62" s="96">
        <v>472055.63999999996</v>
      </c>
      <c r="E62" s="52">
        <v>90</v>
      </c>
      <c r="F62" s="96">
        <v>404788.52</v>
      </c>
      <c r="G62" s="141">
        <f t="shared" si="0"/>
        <v>-2.1739130434782652</v>
      </c>
      <c r="H62" s="143">
        <f t="shared" si="4"/>
        <v>-14.249828685449017</v>
      </c>
    </row>
    <row r="63" spans="1:8" ht="15" customHeight="1">
      <c r="A63" s="103">
        <v>56</v>
      </c>
      <c r="B63" s="29" t="s">
        <v>54</v>
      </c>
      <c r="C63" s="52">
        <v>410</v>
      </c>
      <c r="D63" s="96">
        <v>4312894.6399999997</v>
      </c>
      <c r="E63" s="52">
        <v>422</v>
      </c>
      <c r="F63" s="96">
        <v>17448652.869999997</v>
      </c>
      <c r="G63" s="141">
        <f t="shared" si="0"/>
        <v>2.9268292682926926</v>
      </c>
      <c r="H63" s="143">
        <f t="shared" si="4"/>
        <v>304.56942092144408</v>
      </c>
    </row>
    <row r="64" spans="1:8" ht="15" customHeight="1">
      <c r="A64" s="103">
        <v>57</v>
      </c>
      <c r="B64" s="29" t="s">
        <v>55</v>
      </c>
      <c r="C64" s="52">
        <v>63</v>
      </c>
      <c r="D64" s="96">
        <v>393583.24</v>
      </c>
      <c r="E64" s="52">
        <v>48</v>
      </c>
      <c r="F64" s="96">
        <v>347643.70999999996</v>
      </c>
      <c r="G64" s="141">
        <f t="shared" si="0"/>
        <v>-23.80952380952381</v>
      </c>
      <c r="H64" s="143">
        <f t="shared" si="4"/>
        <v>-11.672125571200652</v>
      </c>
    </row>
    <row r="65" spans="1:8" ht="15" customHeight="1">
      <c r="A65" s="103">
        <v>58</v>
      </c>
      <c r="B65" s="29" t="s">
        <v>56</v>
      </c>
      <c r="C65" s="52">
        <v>372</v>
      </c>
      <c r="D65" s="96">
        <v>3470817.6399999997</v>
      </c>
      <c r="E65" s="52">
        <v>346</v>
      </c>
      <c r="F65" s="96">
        <v>2465202</v>
      </c>
      <c r="G65" s="141">
        <f t="shared" si="0"/>
        <v>-6.9892473118279668</v>
      </c>
      <c r="H65" s="143">
        <f t="shared" si="4"/>
        <v>-28.973450763031153</v>
      </c>
    </row>
    <row r="66" spans="1:8" ht="15" customHeight="1">
      <c r="A66" s="103">
        <v>59</v>
      </c>
      <c r="B66" s="29" t="s">
        <v>57</v>
      </c>
      <c r="C66" s="52">
        <v>1028</v>
      </c>
      <c r="D66" s="96">
        <v>8655276.4800000004</v>
      </c>
      <c r="E66" s="52">
        <v>949</v>
      </c>
      <c r="F66" s="96">
        <v>8165005.1000000006</v>
      </c>
      <c r="G66" s="141">
        <f t="shared" si="0"/>
        <v>-7.684824902723733</v>
      </c>
      <c r="H66" s="143">
        <f t="shared" si="4"/>
        <v>-5.6644219411463581</v>
      </c>
    </row>
    <row r="67" spans="1:8" ht="15" customHeight="1">
      <c r="A67" s="103">
        <v>60</v>
      </c>
      <c r="B67" s="29" t="s">
        <v>58</v>
      </c>
      <c r="C67" s="52">
        <v>21</v>
      </c>
      <c r="D67" s="96">
        <v>253665.3</v>
      </c>
      <c r="E67" s="52">
        <v>9</v>
      </c>
      <c r="F67" s="96">
        <v>54970.179999999993</v>
      </c>
      <c r="G67" s="141">
        <f t="shared" si="0"/>
        <v>-57.142857142857146</v>
      </c>
      <c r="H67" s="143">
        <f t="shared" si="4"/>
        <v>-78.329641460617594</v>
      </c>
    </row>
    <row r="68" spans="1:8" ht="15" customHeight="1">
      <c r="A68" s="103">
        <v>61</v>
      </c>
      <c r="B68" s="29" t="s">
        <v>59</v>
      </c>
      <c r="C68" s="52">
        <v>576</v>
      </c>
      <c r="D68" s="96">
        <v>5185920.9399999995</v>
      </c>
      <c r="E68" s="52">
        <v>587</v>
      </c>
      <c r="F68" s="96">
        <v>6770329</v>
      </c>
      <c r="G68" s="141">
        <f t="shared" si="0"/>
        <v>1.9097222222222285</v>
      </c>
      <c r="H68" s="143">
        <f t="shared" si="4"/>
        <v>30.552105948610944</v>
      </c>
    </row>
    <row r="69" spans="1:8" ht="15" customHeight="1">
      <c r="A69" s="103">
        <v>62</v>
      </c>
      <c r="B69" s="29" t="s">
        <v>60</v>
      </c>
      <c r="C69" s="52">
        <v>63</v>
      </c>
      <c r="D69" s="96">
        <v>598545.74</v>
      </c>
      <c r="E69" s="52">
        <v>94</v>
      </c>
      <c r="F69" s="96">
        <v>505539.08</v>
      </c>
      <c r="G69" s="141">
        <f t="shared" si="0"/>
        <v>49.206349206349216</v>
      </c>
      <c r="H69" s="143">
        <f t="shared" si="4"/>
        <v>-15.538772358483413</v>
      </c>
    </row>
    <row r="70" spans="1:8" ht="15" customHeight="1">
      <c r="A70" s="105"/>
      <c r="B70" s="19" t="s">
        <v>61</v>
      </c>
      <c r="C70" s="95">
        <f>SUM(C56:C69)</f>
        <v>2857</v>
      </c>
      <c r="D70" s="172">
        <f>SUM(D56:D69)</f>
        <v>25445283.319999997</v>
      </c>
      <c r="E70" s="95">
        <f>SUM(E56:E69)</f>
        <v>2735</v>
      </c>
      <c r="F70" s="172">
        <f>SUM(F56:F69)</f>
        <v>37081669.629999995</v>
      </c>
      <c r="G70" s="142">
        <f t="shared" si="0"/>
        <v>-4.2702135106755321</v>
      </c>
      <c r="H70" s="142">
        <f>F70/D70*100-100</f>
        <v>45.731014914083488</v>
      </c>
    </row>
    <row r="71" spans="1:8" ht="15" customHeight="1">
      <c r="A71" s="103">
        <v>63</v>
      </c>
      <c r="B71" s="29" t="s">
        <v>62</v>
      </c>
      <c r="C71" s="52">
        <v>4</v>
      </c>
      <c r="D71" s="96">
        <v>8723.84</v>
      </c>
      <c r="E71" s="52">
        <v>7</v>
      </c>
      <c r="F71" s="96">
        <v>10426.08</v>
      </c>
      <c r="G71" s="141">
        <f t="shared" si="0"/>
        <v>75</v>
      </c>
      <c r="H71" s="143">
        <f t="shared" si="4"/>
        <v>19.512508253246267</v>
      </c>
    </row>
    <row r="72" spans="1:8" ht="15" customHeight="1">
      <c r="A72" s="103">
        <v>64</v>
      </c>
      <c r="B72" s="29" t="s">
        <v>63</v>
      </c>
      <c r="C72" s="52">
        <v>53</v>
      </c>
      <c r="D72" s="96">
        <v>253069.80000000002</v>
      </c>
      <c r="E72" s="52">
        <v>42</v>
      </c>
      <c r="F72" s="96">
        <v>121375.23000000001</v>
      </c>
      <c r="G72" s="141">
        <f t="shared" si="0"/>
        <v>-20.754716981132077</v>
      </c>
      <c r="H72" s="143">
        <f t="shared" si="4"/>
        <v>-52.038832764715501</v>
      </c>
    </row>
    <row r="73" spans="1:8" ht="15" customHeight="1">
      <c r="A73" s="103">
        <v>65</v>
      </c>
      <c r="B73" s="29" t="s">
        <v>64</v>
      </c>
      <c r="C73" s="52">
        <v>11</v>
      </c>
      <c r="D73" s="96">
        <v>100886.33000000002</v>
      </c>
      <c r="E73" s="52">
        <v>13</v>
      </c>
      <c r="F73" s="96">
        <v>75258.75</v>
      </c>
      <c r="G73" s="141">
        <f>E73/C73*100-100</f>
        <v>18.181818181818187</v>
      </c>
      <c r="H73" s="143">
        <f t="shared" si="4"/>
        <v>-25.402430636539179</v>
      </c>
    </row>
    <row r="74" spans="1:8" ht="15" customHeight="1">
      <c r="A74" s="103">
        <v>66</v>
      </c>
      <c r="B74" s="29" t="s">
        <v>65</v>
      </c>
      <c r="C74" s="52">
        <v>84</v>
      </c>
      <c r="D74" s="96">
        <v>505947.87000000005</v>
      </c>
      <c r="E74" s="52">
        <v>59</v>
      </c>
      <c r="F74" s="96">
        <v>237111.01</v>
      </c>
      <c r="G74" s="141">
        <f>E74/C74*100-100</f>
        <v>-29.761904761904773</v>
      </c>
      <c r="H74" s="143">
        <f t="shared" si="4"/>
        <v>-53.135288424082113</v>
      </c>
    </row>
    <row r="75" spans="1:8" ht="15" customHeight="1">
      <c r="A75" s="103">
        <v>67</v>
      </c>
      <c r="B75" s="29" t="s">
        <v>66</v>
      </c>
      <c r="C75" s="52">
        <v>28</v>
      </c>
      <c r="D75" s="96">
        <v>199188.16</v>
      </c>
      <c r="E75" s="52">
        <v>32</v>
      </c>
      <c r="F75" s="96">
        <v>32594.45</v>
      </c>
      <c r="G75" s="141">
        <f>E75/C75*100-100</f>
        <v>14.285714285714278</v>
      </c>
      <c r="H75" s="143">
        <f t="shared" si="4"/>
        <v>-83.636351678734314</v>
      </c>
    </row>
    <row r="76" spans="1:8" ht="15" customHeight="1">
      <c r="A76" s="103">
        <v>68</v>
      </c>
      <c r="B76" s="29" t="s">
        <v>67</v>
      </c>
      <c r="C76" s="52">
        <v>37</v>
      </c>
      <c r="D76" s="96">
        <v>234777.03000000003</v>
      </c>
      <c r="E76" s="52">
        <v>28</v>
      </c>
      <c r="F76" s="96">
        <v>87243.31</v>
      </c>
      <c r="G76" s="141">
        <f>E76/C76*100-100</f>
        <v>-24.324324324324323</v>
      </c>
      <c r="H76" s="143">
        <f t="shared" si="4"/>
        <v>-62.839929442842006</v>
      </c>
    </row>
    <row r="77" spans="1:8" ht="15" customHeight="1">
      <c r="A77" s="105"/>
      <c r="B77" s="19" t="s">
        <v>68</v>
      </c>
      <c r="C77" s="95">
        <f>SUM(C71:C76)</f>
        <v>217</v>
      </c>
      <c r="D77" s="172">
        <f>SUM(D71:D76)</f>
        <v>1302593.03</v>
      </c>
      <c r="E77" s="95">
        <f>SUM(E71:E76)</f>
        <v>181</v>
      </c>
      <c r="F77" s="172">
        <f>SUM(F71:F76)</f>
        <v>564008.83000000007</v>
      </c>
      <c r="G77" s="142">
        <f t="shared" ref="G77:G103" si="5">E77/C77*100-100</f>
        <v>-16.589861751152071</v>
      </c>
      <c r="H77" s="142">
        <f>F77/D77*100-100</f>
        <v>-56.701071093555591</v>
      </c>
    </row>
    <row r="78" spans="1:8" ht="15" customHeight="1">
      <c r="A78" s="103">
        <v>69</v>
      </c>
      <c r="B78" s="29" t="s">
        <v>69</v>
      </c>
      <c r="C78" s="52">
        <v>6</v>
      </c>
      <c r="D78" s="96">
        <v>43428.52</v>
      </c>
      <c r="E78" s="52">
        <v>6</v>
      </c>
      <c r="F78" s="96">
        <v>110037.44</v>
      </c>
      <c r="G78" s="141">
        <f t="shared" si="5"/>
        <v>0</v>
      </c>
      <c r="H78" s="143">
        <f t="shared" si="4"/>
        <v>153.37598426103401</v>
      </c>
    </row>
    <row r="79" spans="1:8" ht="15" customHeight="1">
      <c r="A79" s="103">
        <v>70</v>
      </c>
      <c r="B79" s="29" t="s">
        <v>71</v>
      </c>
      <c r="C79" s="52">
        <v>10</v>
      </c>
      <c r="D79" s="96">
        <v>70580.490000000005</v>
      </c>
      <c r="E79" s="52">
        <v>9</v>
      </c>
      <c r="F79" s="96">
        <v>76965.73000000001</v>
      </c>
      <c r="G79" s="141">
        <f t="shared" si="5"/>
        <v>-10</v>
      </c>
      <c r="H79" s="143">
        <f t="shared" si="4"/>
        <v>9.04674932123595</v>
      </c>
    </row>
    <row r="80" spans="1:8" ht="15" customHeight="1">
      <c r="A80" s="103">
        <v>71</v>
      </c>
      <c r="B80" s="29" t="s">
        <v>72</v>
      </c>
      <c r="C80" s="52">
        <v>11</v>
      </c>
      <c r="D80" s="96">
        <v>66178.649999999994</v>
      </c>
      <c r="E80" s="52">
        <v>9</v>
      </c>
      <c r="F80" s="96">
        <v>98277.150000000009</v>
      </c>
      <c r="G80" s="141">
        <f t="shared" si="5"/>
        <v>-18.181818181818173</v>
      </c>
      <c r="H80" s="143">
        <f t="shared" si="4"/>
        <v>48.502802641033043</v>
      </c>
    </row>
    <row r="81" spans="1:8" ht="15" customHeight="1">
      <c r="A81" s="103">
        <v>72</v>
      </c>
      <c r="B81" s="29" t="s">
        <v>73</v>
      </c>
      <c r="C81" s="52">
        <v>24</v>
      </c>
      <c r="D81" s="96">
        <v>156856.32000000001</v>
      </c>
      <c r="E81" s="52">
        <v>28</v>
      </c>
      <c r="F81" s="96">
        <v>200408.75999999998</v>
      </c>
      <c r="G81" s="141">
        <f t="shared" si="5"/>
        <v>16.666666666666671</v>
      </c>
      <c r="H81" s="143">
        <f t="shared" si="4"/>
        <v>27.76581778789658</v>
      </c>
    </row>
    <row r="82" spans="1:8" ht="15" customHeight="1">
      <c r="A82" s="103">
        <v>73</v>
      </c>
      <c r="B82" s="29" t="s">
        <v>74</v>
      </c>
      <c r="C82" s="52">
        <v>13</v>
      </c>
      <c r="D82" s="96">
        <v>333630.8</v>
      </c>
      <c r="E82" s="52">
        <v>7</v>
      </c>
      <c r="F82" s="96">
        <v>79749.100000000006</v>
      </c>
      <c r="G82" s="141">
        <f t="shared" si="5"/>
        <v>-46.153846153846153</v>
      </c>
      <c r="H82" s="143">
        <f t="shared" si="4"/>
        <v>-76.096601392916952</v>
      </c>
    </row>
    <row r="83" spans="1:8" ht="15" customHeight="1">
      <c r="A83" s="103">
        <v>74</v>
      </c>
      <c r="B83" s="29" t="s">
        <v>75</v>
      </c>
      <c r="C83" s="52">
        <v>10</v>
      </c>
      <c r="D83" s="96">
        <v>44394.6</v>
      </c>
      <c r="E83" s="52">
        <v>9</v>
      </c>
      <c r="F83" s="96">
        <v>98810.94</v>
      </c>
      <c r="G83" s="141">
        <f t="shared" si="5"/>
        <v>-10</v>
      </c>
      <c r="H83" s="143">
        <f t="shared" si="4"/>
        <v>122.57423200118933</v>
      </c>
    </row>
    <row r="84" spans="1:8" ht="15" customHeight="1">
      <c r="A84" s="103">
        <v>75</v>
      </c>
      <c r="B84" s="29" t="s">
        <v>76</v>
      </c>
      <c r="C84" s="52"/>
      <c r="D84" s="96">
        <v>0</v>
      </c>
      <c r="E84" s="52">
        <v>1</v>
      </c>
      <c r="F84" s="96">
        <v>4320.91</v>
      </c>
      <c r="G84" s="141"/>
      <c r="H84" s="143"/>
    </row>
    <row r="85" spans="1:8" ht="15" customHeight="1">
      <c r="A85" s="103">
        <v>76</v>
      </c>
      <c r="B85" s="29" t="s">
        <v>78</v>
      </c>
      <c r="C85" s="52"/>
      <c r="D85" s="96">
        <v>0</v>
      </c>
      <c r="E85" s="52">
        <v>0</v>
      </c>
      <c r="F85" s="96">
        <v>0</v>
      </c>
      <c r="G85" s="141"/>
      <c r="H85" s="143"/>
    </row>
    <row r="86" spans="1:8" ht="15" customHeight="1">
      <c r="A86" s="103">
        <v>77</v>
      </c>
      <c r="B86" s="29" t="s">
        <v>79</v>
      </c>
      <c r="C86" s="52">
        <v>1</v>
      </c>
      <c r="D86" s="96">
        <v>9408.630000000001</v>
      </c>
      <c r="E86" s="52">
        <v>2</v>
      </c>
      <c r="F86" s="96">
        <v>0</v>
      </c>
      <c r="G86" s="141">
        <f t="shared" si="5"/>
        <v>100</v>
      </c>
      <c r="H86" s="143">
        <f t="shared" si="4"/>
        <v>-100</v>
      </c>
    </row>
    <row r="87" spans="1:8" ht="15" customHeight="1">
      <c r="A87" s="103">
        <v>78</v>
      </c>
      <c r="B87" s="29" t="s">
        <v>80</v>
      </c>
      <c r="C87" s="52">
        <v>4</v>
      </c>
      <c r="D87" s="96">
        <v>19869.370000000003</v>
      </c>
      <c r="E87" s="52">
        <v>4</v>
      </c>
      <c r="F87" s="96">
        <v>48578.65</v>
      </c>
      <c r="G87" s="141">
        <f t="shared" si="5"/>
        <v>0</v>
      </c>
      <c r="H87" s="143">
        <f t="shared" si="4"/>
        <v>144.49013733198385</v>
      </c>
    </row>
    <row r="88" spans="1:8" ht="15" customHeight="1">
      <c r="A88" s="105"/>
      <c r="B88" s="19" t="s">
        <v>81</v>
      </c>
      <c r="C88" s="95">
        <f>SUM(C78:C87)</f>
        <v>79</v>
      </c>
      <c r="D88" s="172">
        <f>SUM(D78:D87)</f>
        <v>744347.38</v>
      </c>
      <c r="E88" s="95">
        <f>SUM(E78:E87)</f>
        <v>75</v>
      </c>
      <c r="F88" s="172">
        <f>SUM(F78:F87)</f>
        <v>717148.67999999993</v>
      </c>
      <c r="G88" s="142">
        <f t="shared" si="5"/>
        <v>-5.0632911392405049</v>
      </c>
      <c r="H88" s="142">
        <f>F88/D88*100-100</f>
        <v>-3.6540331478025792</v>
      </c>
    </row>
    <row r="89" spans="1:8" ht="15" customHeight="1">
      <c r="A89" s="103">
        <v>79</v>
      </c>
      <c r="B89" s="106" t="s">
        <v>82</v>
      </c>
      <c r="C89" s="52">
        <v>1</v>
      </c>
      <c r="D89" s="96">
        <v>27865.599999999999</v>
      </c>
      <c r="E89" s="52">
        <v>3</v>
      </c>
      <c r="F89" s="96">
        <v>13474.63</v>
      </c>
      <c r="G89" s="141"/>
      <c r="H89" s="143">
        <f t="shared" si="4"/>
        <v>-51.644213654111162</v>
      </c>
    </row>
    <row r="90" spans="1:8" ht="15" customHeight="1">
      <c r="A90" s="103">
        <v>80</v>
      </c>
      <c r="B90" s="108" t="s">
        <v>83</v>
      </c>
      <c r="C90" s="52">
        <v>2</v>
      </c>
      <c r="D90" s="96">
        <v>14945.92</v>
      </c>
      <c r="E90" s="52">
        <v>1</v>
      </c>
      <c r="F90" s="96">
        <v>944.57</v>
      </c>
      <c r="G90" s="141">
        <v>0</v>
      </c>
      <c r="H90" s="143">
        <f t="shared" si="4"/>
        <v>-93.68008125294395</v>
      </c>
    </row>
    <row r="91" spans="1:8" ht="15" customHeight="1">
      <c r="A91" s="103">
        <v>81</v>
      </c>
      <c r="B91" s="107" t="s">
        <v>70</v>
      </c>
      <c r="C91" s="52">
        <v>10</v>
      </c>
      <c r="D91" s="96">
        <v>65144.21</v>
      </c>
      <c r="E91" s="52">
        <v>6</v>
      </c>
      <c r="F91" s="96">
        <v>59223.71</v>
      </c>
      <c r="G91" s="141">
        <f t="shared" si="5"/>
        <v>-40</v>
      </c>
      <c r="H91" s="143">
        <f t="shared" si="4"/>
        <v>-9.0882981004758534</v>
      </c>
    </row>
    <row r="92" spans="1:8" ht="15" customHeight="1">
      <c r="A92" s="103">
        <v>82</v>
      </c>
      <c r="B92" s="108" t="s">
        <v>84</v>
      </c>
      <c r="C92" s="52">
        <v>6</v>
      </c>
      <c r="D92" s="96">
        <v>86099.13</v>
      </c>
      <c r="E92" s="52">
        <v>9</v>
      </c>
      <c r="F92" s="96">
        <v>23275.73</v>
      </c>
      <c r="G92" s="141">
        <f t="shared" si="5"/>
        <v>50</v>
      </c>
      <c r="H92" s="143">
        <f t="shared" si="4"/>
        <v>-72.966358661231538</v>
      </c>
    </row>
    <row r="93" spans="1:8" ht="15" customHeight="1">
      <c r="A93" s="103">
        <v>83</v>
      </c>
      <c r="B93" s="108" t="s">
        <v>85</v>
      </c>
      <c r="C93" s="52">
        <v>1</v>
      </c>
      <c r="D93" s="96">
        <v>1815.99</v>
      </c>
      <c r="E93" s="52">
        <v>3</v>
      </c>
      <c r="F93" s="96">
        <v>10569.539999999999</v>
      </c>
      <c r="G93" s="141"/>
      <c r="H93" s="143">
        <f t="shared" si="4"/>
        <v>482.0263327441229</v>
      </c>
    </row>
    <row r="94" spans="1:8" ht="15" customHeight="1">
      <c r="A94" s="103">
        <v>84</v>
      </c>
      <c r="B94" s="108" t="s">
        <v>86</v>
      </c>
      <c r="C94" s="52">
        <v>13</v>
      </c>
      <c r="D94" s="96">
        <v>67469.489999999991</v>
      </c>
      <c r="E94" s="52">
        <v>11</v>
      </c>
      <c r="F94" s="96">
        <v>125647.55</v>
      </c>
      <c r="G94" s="141">
        <f t="shared" si="5"/>
        <v>-15.384615384615387</v>
      </c>
      <c r="H94" s="143">
        <f t="shared" si="4"/>
        <v>86.228693888155988</v>
      </c>
    </row>
    <row r="95" spans="1:8" ht="15" customHeight="1">
      <c r="A95" s="103">
        <v>85</v>
      </c>
      <c r="B95" s="107" t="s">
        <v>77</v>
      </c>
      <c r="C95" s="52">
        <v>1</v>
      </c>
      <c r="D95" s="96">
        <v>61615.23000000001</v>
      </c>
      <c r="E95" s="52">
        <v>2</v>
      </c>
      <c r="F95" s="96">
        <v>133.43</v>
      </c>
      <c r="G95" s="141">
        <f t="shared" si="5"/>
        <v>100</v>
      </c>
      <c r="H95" s="143">
        <f t="shared" si="4"/>
        <v>-99.783446397911689</v>
      </c>
    </row>
    <row r="96" spans="1:8" ht="15" customHeight="1">
      <c r="A96" s="103">
        <v>86</v>
      </c>
      <c r="B96" s="108" t="s">
        <v>87</v>
      </c>
      <c r="C96" s="52">
        <v>10</v>
      </c>
      <c r="D96" s="96">
        <v>99209.409999999989</v>
      </c>
      <c r="E96" s="52">
        <v>8</v>
      </c>
      <c r="F96" s="96">
        <v>93146.79</v>
      </c>
      <c r="G96" s="141">
        <f t="shared" si="5"/>
        <v>-20</v>
      </c>
      <c r="H96" s="143">
        <f t="shared" si="4"/>
        <v>-6.1109324206242093</v>
      </c>
    </row>
    <row r="97" spans="1:8" ht="15" customHeight="1">
      <c r="A97" s="103">
        <v>87</v>
      </c>
      <c r="B97" s="106" t="s">
        <v>88</v>
      </c>
      <c r="C97" s="52">
        <v>24</v>
      </c>
      <c r="D97" s="96">
        <v>137823.83000000002</v>
      </c>
      <c r="E97" s="52">
        <v>12</v>
      </c>
      <c r="F97" s="96">
        <v>131594.68</v>
      </c>
      <c r="G97" s="141">
        <f t="shared" si="5"/>
        <v>-50</v>
      </c>
      <c r="H97" s="143">
        <f t="shared" si="4"/>
        <v>-4.519646566199782</v>
      </c>
    </row>
    <row r="98" spans="1:8" ht="15" customHeight="1">
      <c r="A98" s="103">
        <v>88</v>
      </c>
      <c r="B98" s="106" t="s">
        <v>89</v>
      </c>
      <c r="C98" s="52">
        <v>13</v>
      </c>
      <c r="D98" s="96">
        <v>169432.52000000002</v>
      </c>
      <c r="E98" s="52">
        <v>9</v>
      </c>
      <c r="F98" s="96">
        <v>228784.91</v>
      </c>
      <c r="G98" s="141">
        <f t="shared" si="5"/>
        <v>-30.769230769230774</v>
      </c>
      <c r="H98" s="143">
        <f t="shared" si="4"/>
        <v>35.030105200583677</v>
      </c>
    </row>
    <row r="99" spans="1:8" ht="15" customHeight="1">
      <c r="A99" s="103">
        <v>89</v>
      </c>
      <c r="B99" s="106" t="s">
        <v>90</v>
      </c>
      <c r="C99" s="52">
        <v>4</v>
      </c>
      <c r="D99" s="96">
        <v>7977.12</v>
      </c>
      <c r="E99" s="52">
        <v>3</v>
      </c>
      <c r="F99" s="96">
        <v>17386.46</v>
      </c>
      <c r="G99" s="141">
        <f t="shared" si="5"/>
        <v>-25</v>
      </c>
      <c r="H99" s="143">
        <f t="shared" si="4"/>
        <v>117.95409872234589</v>
      </c>
    </row>
    <row r="100" spans="1:8" ht="15" customHeight="1">
      <c r="A100" s="105"/>
      <c r="B100" s="20" t="s">
        <v>91</v>
      </c>
      <c r="C100" s="95">
        <f>SUM(C89:C99)</f>
        <v>85</v>
      </c>
      <c r="D100" s="172">
        <f>SUM(D89:D99)</f>
        <v>739398.45</v>
      </c>
      <c r="E100" s="95">
        <f>SUM(E89:E99)</f>
        <v>67</v>
      </c>
      <c r="F100" s="172">
        <f>SUM(F89:F99)</f>
        <v>704181.99999999988</v>
      </c>
      <c r="G100" s="142">
        <f t="shared" si="5"/>
        <v>-21.17647058823529</v>
      </c>
      <c r="H100" s="142">
        <f>F100/D100*100-100</f>
        <v>-4.7628514774409041</v>
      </c>
    </row>
    <row r="101" spans="1:8" ht="15" customHeight="1">
      <c r="A101" s="103">
        <v>90</v>
      </c>
      <c r="B101" s="106" t="s">
        <v>104</v>
      </c>
      <c r="C101" s="277">
        <v>0</v>
      </c>
      <c r="D101" s="278">
        <v>0</v>
      </c>
      <c r="E101" s="52"/>
      <c r="F101" s="96">
        <v>1068.22</v>
      </c>
      <c r="G101" s="280">
        <v>0</v>
      </c>
      <c r="H101" s="143"/>
    </row>
    <row r="102" spans="1:8" ht="15" customHeight="1">
      <c r="A102" s="105"/>
      <c r="B102" s="20" t="s">
        <v>93</v>
      </c>
      <c r="C102" s="53">
        <f>SUM(C101)</f>
        <v>0</v>
      </c>
      <c r="D102" s="258">
        <f>SUM(D101)</f>
        <v>0</v>
      </c>
      <c r="E102" s="53">
        <v>0</v>
      </c>
      <c r="F102" s="172">
        <f>SUM(F101)</f>
        <v>1068.22</v>
      </c>
      <c r="G102" s="142"/>
      <c r="H102" s="142"/>
    </row>
    <row r="103" spans="1:8" ht="25.9" customHeight="1">
      <c r="A103" s="109"/>
      <c r="B103" s="20" t="s">
        <v>92</v>
      </c>
      <c r="C103" s="53">
        <f>C102+C100+C88+C77+C70+C55+C47+C34+C22</f>
        <v>7511</v>
      </c>
      <c r="D103" s="279">
        <f>D102+D100+D88+D77+D70+D55+D47+D34+D22</f>
        <v>49831302.399999999</v>
      </c>
      <c r="E103" s="173">
        <f>E102+E100+E88+E77+E70+E55+E47+E34+E22</f>
        <v>6633</v>
      </c>
      <c r="F103" s="170">
        <f>F102+F100+F88+F77+F70+F55+F47+F34+F22</f>
        <v>56200763.61999999</v>
      </c>
      <c r="G103" s="142">
        <f t="shared" si="5"/>
        <v>-11.689522034349622</v>
      </c>
      <c r="H103" s="142">
        <f>F103/D103*100-100</f>
        <v>12.782048457958808</v>
      </c>
    </row>
    <row r="104" spans="1:8" ht="1.1499999999999999" customHeight="1">
      <c r="A104" s="110"/>
      <c r="B104" s="111"/>
      <c r="C104" s="173">
        <f>C98+C96+C84+C73+C66+C51+C43+C34+C22</f>
        <v>4911</v>
      </c>
      <c r="D104" s="257">
        <f>D98+D96+D84+D73+D66+D51+D43+D34+D22</f>
        <v>24161755.079999998</v>
      </c>
      <c r="E104" s="87"/>
      <c r="F104" s="144"/>
    </row>
    <row r="105" spans="1:8" ht="18.600000000000001" customHeight="1">
      <c r="A105" s="110"/>
      <c r="B105" s="111"/>
      <c r="C105" s="262"/>
      <c r="D105" s="145"/>
      <c r="E105" s="87"/>
      <c r="F105" s="144"/>
    </row>
    <row r="106" spans="1:8" s="58" customFormat="1" ht="18">
      <c r="A106" s="55"/>
      <c r="B106" s="56" t="s">
        <v>159</v>
      </c>
      <c r="C106" s="295" t="s">
        <v>115</v>
      </c>
      <c r="D106" s="295"/>
      <c r="E106" s="295"/>
      <c r="F106" s="57" t="s">
        <v>160</v>
      </c>
      <c r="G106" s="60"/>
      <c r="H106" s="77"/>
    </row>
    <row r="107" spans="1:8">
      <c r="A107" s="110"/>
      <c r="B107" s="111"/>
      <c r="C107" s="262"/>
      <c r="D107" s="145"/>
      <c r="E107" s="87"/>
      <c r="F107" s="144"/>
    </row>
    <row r="108" spans="1:8">
      <c r="A108" s="110"/>
      <c r="B108" s="111"/>
      <c r="C108" s="262"/>
      <c r="D108" s="145"/>
      <c r="E108" s="87"/>
      <c r="F108" s="144"/>
    </row>
    <row r="109" spans="1:8">
      <c r="A109" s="110"/>
      <c r="B109" s="111"/>
      <c r="C109" s="262"/>
      <c r="D109" s="145"/>
      <c r="E109" s="87"/>
      <c r="F109" s="144"/>
    </row>
    <row r="110" spans="1:8">
      <c r="A110" s="110"/>
      <c r="B110" s="111"/>
      <c r="C110" s="262"/>
      <c r="D110" s="145"/>
      <c r="E110" s="87"/>
      <c r="F110" s="144"/>
    </row>
    <row r="111" spans="1:8">
      <c r="A111" s="110"/>
      <c r="B111" s="111"/>
      <c r="C111" s="262"/>
      <c r="D111" s="145"/>
      <c r="E111" s="87"/>
      <c r="F111" s="144"/>
    </row>
    <row r="112" spans="1:8">
      <c r="A112" s="110"/>
      <c r="B112" s="111"/>
      <c r="C112" s="263"/>
      <c r="D112" s="64"/>
      <c r="E112" s="87"/>
      <c r="F112" s="144"/>
    </row>
    <row r="113" spans="1:6">
      <c r="A113" s="110"/>
      <c r="B113" s="111"/>
      <c r="C113" s="264"/>
      <c r="E113" s="87"/>
      <c r="F113" s="144"/>
    </row>
    <row r="114" spans="1:6">
      <c r="A114" s="110"/>
      <c r="B114" s="111"/>
      <c r="C114" s="264"/>
      <c r="E114" s="87"/>
      <c r="F114" s="144"/>
    </row>
    <row r="115" spans="1:6">
      <c r="A115" s="110"/>
      <c r="B115" s="111"/>
      <c r="C115" s="264"/>
      <c r="E115" s="87"/>
      <c r="F115" s="144"/>
    </row>
    <row r="116" spans="1:6">
      <c r="A116" s="110"/>
      <c r="B116" s="111"/>
      <c r="C116" s="264"/>
      <c r="E116" s="87"/>
      <c r="F116" s="144"/>
    </row>
    <row r="117" spans="1:6">
      <c r="A117" s="110"/>
      <c r="B117" s="111"/>
      <c r="C117" s="264"/>
      <c r="E117" s="87"/>
      <c r="F117" s="144"/>
    </row>
    <row r="118" spans="1:6">
      <c r="A118" s="110"/>
      <c r="B118" s="111"/>
      <c r="C118" s="264"/>
      <c r="E118" s="87"/>
      <c r="F118" s="144"/>
    </row>
    <row r="119" spans="1:6">
      <c r="A119" s="110"/>
      <c r="B119" s="111"/>
      <c r="C119" s="264"/>
      <c r="E119" s="87"/>
      <c r="F119" s="144"/>
    </row>
    <row r="120" spans="1:6">
      <c r="A120" s="110"/>
      <c r="B120" s="111"/>
      <c r="C120" s="264"/>
      <c r="E120" s="87"/>
      <c r="F120" s="144"/>
    </row>
    <row r="121" spans="1:6">
      <c r="A121" s="110"/>
      <c r="B121" s="111"/>
      <c r="C121" s="264"/>
      <c r="E121" s="87"/>
      <c r="F121" s="144"/>
    </row>
    <row r="122" spans="1:6">
      <c r="A122" s="110"/>
      <c r="B122" s="111"/>
      <c r="C122" s="264"/>
      <c r="E122" s="87"/>
      <c r="F122" s="144"/>
    </row>
    <row r="123" spans="1:6">
      <c r="A123" s="110"/>
      <c r="B123" s="111"/>
      <c r="C123" s="264"/>
      <c r="E123" s="87"/>
      <c r="F123" s="144"/>
    </row>
    <row r="124" spans="1:6">
      <c r="A124" s="110"/>
      <c r="B124" s="111"/>
      <c r="C124" s="264"/>
      <c r="E124" s="87"/>
      <c r="F124" s="144"/>
    </row>
    <row r="125" spans="1:6">
      <c r="A125" s="110"/>
      <c r="B125" s="111"/>
      <c r="C125" s="264"/>
      <c r="E125" s="87"/>
      <c r="F125" s="144"/>
    </row>
    <row r="126" spans="1:6">
      <c r="A126" s="110"/>
      <c r="B126" s="111"/>
      <c r="C126" s="264"/>
      <c r="E126" s="87"/>
      <c r="F126" s="144"/>
    </row>
    <row r="127" spans="1:6">
      <c r="A127" s="110"/>
      <c r="B127" s="111"/>
      <c r="C127" s="264"/>
      <c r="E127" s="87"/>
      <c r="F127" s="144"/>
    </row>
    <row r="128" spans="1:6">
      <c r="A128" s="110"/>
      <c r="B128" s="111"/>
      <c r="C128" s="264"/>
      <c r="E128" s="87"/>
      <c r="F128" s="144"/>
    </row>
    <row r="129" spans="1:6">
      <c r="A129" s="110"/>
      <c r="B129" s="111"/>
      <c r="C129" s="264"/>
      <c r="E129" s="87"/>
      <c r="F129" s="144"/>
    </row>
    <row r="130" spans="1:6">
      <c r="A130" s="110"/>
      <c r="B130" s="111"/>
      <c r="C130" s="264"/>
      <c r="E130" s="87"/>
      <c r="F130" s="144"/>
    </row>
    <row r="131" spans="1:6">
      <c r="A131" s="110"/>
      <c r="B131" s="111"/>
      <c r="C131" s="264"/>
      <c r="E131" s="87"/>
      <c r="F131" s="144"/>
    </row>
    <row r="132" spans="1:6">
      <c r="A132" s="110"/>
      <c r="B132" s="111"/>
      <c r="C132" s="264"/>
      <c r="E132" s="87"/>
      <c r="F132" s="144"/>
    </row>
    <row r="133" spans="1:6">
      <c r="A133" s="110"/>
      <c r="B133" s="111"/>
      <c r="C133" s="264"/>
      <c r="E133" s="87"/>
      <c r="F133" s="144"/>
    </row>
    <row r="134" spans="1:6">
      <c r="A134" s="110"/>
      <c r="B134" s="111"/>
      <c r="C134" s="264"/>
      <c r="E134" s="87"/>
      <c r="F134" s="144"/>
    </row>
    <row r="135" spans="1:6">
      <c r="A135" s="110"/>
      <c r="B135" s="111"/>
      <c r="C135" s="264"/>
      <c r="E135" s="87"/>
      <c r="F135" s="144"/>
    </row>
    <row r="136" spans="1:6">
      <c r="A136" s="110"/>
      <c r="B136" s="111"/>
      <c r="C136" s="264"/>
      <c r="E136" s="87"/>
      <c r="F136" s="144"/>
    </row>
    <row r="137" spans="1:6">
      <c r="A137" s="110"/>
      <c r="B137" s="111"/>
      <c r="C137" s="264"/>
      <c r="E137" s="87"/>
      <c r="F137" s="144"/>
    </row>
    <row r="138" spans="1:6">
      <c r="A138" s="110"/>
      <c r="B138" s="111"/>
      <c r="C138" s="264"/>
      <c r="E138" s="87"/>
      <c r="F138" s="144"/>
    </row>
    <row r="139" spans="1:6">
      <c r="A139" s="110"/>
      <c r="B139" s="111"/>
      <c r="C139" s="264"/>
      <c r="E139" s="87"/>
      <c r="F139" s="144"/>
    </row>
    <row r="140" spans="1:6">
      <c r="A140" s="110"/>
      <c r="B140" s="111"/>
      <c r="C140" s="264"/>
      <c r="E140" s="87"/>
      <c r="F140" s="144"/>
    </row>
    <row r="141" spans="1:6">
      <c r="A141" s="110"/>
      <c r="B141" s="111"/>
      <c r="C141" s="264"/>
      <c r="E141" s="87"/>
      <c r="F141" s="144"/>
    </row>
    <row r="142" spans="1:6">
      <c r="A142" s="110"/>
      <c r="B142" s="111"/>
      <c r="C142" s="264"/>
      <c r="E142" s="87"/>
      <c r="F142" s="144"/>
    </row>
    <row r="143" spans="1:6">
      <c r="A143" s="110"/>
      <c r="B143" s="111"/>
      <c r="C143" s="264"/>
      <c r="E143" s="87"/>
      <c r="F143" s="144"/>
    </row>
    <row r="144" spans="1:6">
      <c r="A144" s="110"/>
      <c r="B144" s="111"/>
      <c r="C144" s="264"/>
      <c r="E144" s="87"/>
      <c r="F144" s="144"/>
    </row>
    <row r="145" spans="1:6">
      <c r="A145" s="110"/>
      <c r="B145" s="111"/>
      <c r="C145" s="264"/>
      <c r="E145" s="87"/>
      <c r="F145" s="144"/>
    </row>
    <row r="146" spans="1:6">
      <c r="A146" s="110"/>
      <c r="B146" s="111"/>
      <c r="C146" s="264"/>
      <c r="E146" s="87"/>
      <c r="F146" s="144"/>
    </row>
    <row r="147" spans="1:6">
      <c r="A147" s="110"/>
      <c r="B147" s="111"/>
      <c r="C147" s="264"/>
      <c r="E147" s="87"/>
      <c r="F147" s="144"/>
    </row>
    <row r="148" spans="1:6">
      <c r="A148" s="110"/>
      <c r="B148" s="111"/>
      <c r="C148" s="264"/>
      <c r="E148" s="87"/>
      <c r="F148" s="144"/>
    </row>
    <row r="149" spans="1:6">
      <c r="A149" s="110"/>
      <c r="B149" s="111"/>
      <c r="C149" s="264"/>
      <c r="E149" s="87"/>
      <c r="F149" s="144"/>
    </row>
    <row r="150" spans="1:6">
      <c r="A150" s="110"/>
      <c r="B150" s="111"/>
      <c r="C150" s="264"/>
      <c r="E150" s="87"/>
      <c r="F150" s="144"/>
    </row>
    <row r="151" spans="1:6">
      <c r="A151" s="110"/>
      <c r="B151" s="111"/>
      <c r="C151" s="264"/>
      <c r="E151" s="87"/>
      <c r="F151" s="144"/>
    </row>
    <row r="152" spans="1:6">
      <c r="A152" s="110"/>
      <c r="B152" s="111"/>
      <c r="C152" s="264"/>
      <c r="E152" s="87"/>
      <c r="F152" s="144"/>
    </row>
    <row r="153" spans="1:6">
      <c r="A153" s="110"/>
      <c r="B153" s="111"/>
      <c r="C153" s="264"/>
      <c r="E153" s="87"/>
      <c r="F153" s="144"/>
    </row>
    <row r="154" spans="1:6">
      <c r="A154" s="110"/>
      <c r="B154" s="111"/>
      <c r="C154" s="264"/>
      <c r="E154" s="87"/>
      <c r="F154" s="144"/>
    </row>
    <row r="155" spans="1:6">
      <c r="A155" s="110"/>
      <c r="B155" s="111"/>
      <c r="C155" s="264"/>
      <c r="E155" s="87"/>
      <c r="F155" s="144"/>
    </row>
    <row r="156" spans="1:6">
      <c r="A156" s="110"/>
      <c r="B156" s="111"/>
      <c r="C156" s="264"/>
      <c r="E156" s="87"/>
      <c r="F156" s="144"/>
    </row>
    <row r="157" spans="1:6">
      <c r="A157" s="110"/>
      <c r="B157" s="111"/>
      <c r="C157" s="264"/>
      <c r="E157" s="87"/>
      <c r="F157" s="144"/>
    </row>
    <row r="158" spans="1:6">
      <c r="A158" s="110"/>
      <c r="B158" s="111"/>
      <c r="C158" s="264"/>
      <c r="E158" s="87"/>
      <c r="F158" s="144"/>
    </row>
    <row r="159" spans="1:6">
      <c r="A159" s="110"/>
      <c r="B159" s="111"/>
      <c r="C159" s="264"/>
      <c r="E159" s="87"/>
      <c r="F159" s="144"/>
    </row>
    <row r="160" spans="1:6">
      <c r="A160" s="110"/>
      <c r="B160" s="111"/>
      <c r="C160" s="264"/>
      <c r="E160" s="87"/>
      <c r="F160" s="144"/>
    </row>
    <row r="161" spans="1:6">
      <c r="A161" s="110"/>
      <c r="B161" s="111"/>
      <c r="C161" s="264"/>
      <c r="E161" s="87"/>
      <c r="F161" s="144"/>
    </row>
    <row r="162" spans="1:6">
      <c r="A162" s="110"/>
      <c r="B162" s="111"/>
      <c r="C162" s="264"/>
      <c r="E162" s="87"/>
      <c r="F162" s="144"/>
    </row>
    <row r="163" spans="1:6">
      <c r="A163" s="110"/>
      <c r="B163" s="111"/>
      <c r="C163" s="264"/>
      <c r="E163" s="87"/>
      <c r="F163" s="144"/>
    </row>
    <row r="164" spans="1:6">
      <c r="A164" s="110"/>
      <c r="B164" s="111"/>
      <c r="C164" s="264"/>
      <c r="E164" s="87"/>
      <c r="F164" s="144"/>
    </row>
    <row r="165" spans="1:6">
      <c r="A165" s="110"/>
      <c r="B165" s="111"/>
      <c r="C165" s="264"/>
      <c r="E165" s="87"/>
      <c r="F165" s="144"/>
    </row>
    <row r="166" spans="1:6">
      <c r="A166" s="110"/>
      <c r="B166" s="111"/>
      <c r="C166" s="264"/>
      <c r="E166" s="87"/>
      <c r="F166" s="144"/>
    </row>
    <row r="167" spans="1:6">
      <c r="A167" s="110"/>
      <c r="B167" s="111"/>
      <c r="C167" s="264"/>
      <c r="E167" s="87"/>
      <c r="F167" s="144"/>
    </row>
    <row r="168" spans="1:6">
      <c r="A168" s="110"/>
      <c r="B168" s="111"/>
      <c r="C168" s="264"/>
      <c r="E168" s="87"/>
      <c r="F168" s="144"/>
    </row>
    <row r="169" spans="1:6">
      <c r="A169" s="110"/>
      <c r="B169" s="111"/>
      <c r="C169" s="264"/>
      <c r="E169" s="87"/>
      <c r="F169" s="144"/>
    </row>
    <row r="170" spans="1:6">
      <c r="A170" s="110"/>
      <c r="B170" s="111"/>
      <c r="C170" s="264"/>
      <c r="E170" s="87"/>
      <c r="F170" s="144"/>
    </row>
    <row r="171" spans="1:6">
      <c r="A171" s="110"/>
      <c r="B171" s="111"/>
      <c r="C171" s="264"/>
      <c r="E171" s="87"/>
      <c r="F171" s="144"/>
    </row>
    <row r="172" spans="1:6">
      <c r="A172" s="110"/>
      <c r="B172" s="111"/>
      <c r="C172" s="264"/>
      <c r="E172" s="87"/>
      <c r="F172" s="144"/>
    </row>
    <row r="173" spans="1:6">
      <c r="A173" s="110"/>
      <c r="B173" s="111"/>
      <c r="C173" s="264"/>
      <c r="E173" s="87"/>
      <c r="F173" s="144"/>
    </row>
    <row r="174" spans="1:6">
      <c r="A174" s="110"/>
      <c r="B174" s="111"/>
      <c r="C174" s="264"/>
      <c r="E174" s="87"/>
      <c r="F174" s="144"/>
    </row>
    <row r="175" spans="1:6">
      <c r="A175" s="110"/>
      <c r="B175" s="111"/>
      <c r="C175" s="264"/>
      <c r="E175" s="87"/>
      <c r="F175" s="144"/>
    </row>
    <row r="176" spans="1:6">
      <c r="A176" s="110"/>
      <c r="B176" s="111"/>
      <c r="C176" s="264"/>
      <c r="E176" s="87"/>
      <c r="F176" s="144"/>
    </row>
    <row r="177" spans="1:6">
      <c r="A177" s="110"/>
      <c r="B177" s="111"/>
      <c r="C177" s="264"/>
      <c r="E177" s="87"/>
      <c r="F177" s="144"/>
    </row>
    <row r="178" spans="1:6">
      <c r="A178" s="110"/>
      <c r="B178" s="111"/>
      <c r="C178" s="264"/>
      <c r="E178" s="87"/>
      <c r="F178" s="144"/>
    </row>
    <row r="179" spans="1:6">
      <c r="A179" s="110"/>
      <c r="B179" s="111"/>
      <c r="C179" s="264"/>
      <c r="E179" s="87"/>
      <c r="F179" s="144"/>
    </row>
    <row r="180" spans="1:6">
      <c r="A180" s="110"/>
      <c r="B180" s="111"/>
      <c r="C180" s="264"/>
      <c r="E180" s="87"/>
      <c r="F180" s="144"/>
    </row>
    <row r="181" spans="1:6">
      <c r="A181" s="110"/>
      <c r="B181" s="111"/>
      <c r="C181" s="264"/>
      <c r="E181" s="87"/>
      <c r="F181" s="144"/>
    </row>
    <row r="182" spans="1:6">
      <c r="A182" s="110"/>
      <c r="B182" s="111"/>
      <c r="C182" s="264"/>
      <c r="E182" s="87"/>
      <c r="F182" s="144"/>
    </row>
    <row r="183" spans="1:6">
      <c r="A183" s="110"/>
      <c r="B183" s="111"/>
      <c r="C183" s="264"/>
      <c r="E183" s="87"/>
      <c r="F183" s="144"/>
    </row>
    <row r="184" spans="1:6">
      <c r="A184" s="110"/>
      <c r="B184" s="111"/>
      <c r="C184" s="264"/>
      <c r="E184" s="87"/>
      <c r="F184" s="144"/>
    </row>
    <row r="185" spans="1:6">
      <c r="A185" s="110"/>
      <c r="B185" s="111"/>
      <c r="C185" s="264"/>
      <c r="E185" s="87"/>
      <c r="F185" s="144"/>
    </row>
    <row r="186" spans="1:6">
      <c r="A186" s="110"/>
      <c r="B186" s="111"/>
      <c r="C186" s="264"/>
      <c r="E186" s="87"/>
      <c r="F186" s="144"/>
    </row>
    <row r="187" spans="1:6">
      <c r="A187" s="110"/>
      <c r="B187" s="111"/>
      <c r="C187" s="264"/>
      <c r="E187" s="87"/>
      <c r="F187" s="144"/>
    </row>
    <row r="188" spans="1:6">
      <c r="A188" s="110"/>
      <c r="B188" s="111"/>
      <c r="C188" s="264"/>
      <c r="E188" s="87"/>
      <c r="F188" s="144"/>
    </row>
    <row r="189" spans="1:6">
      <c r="A189" s="110"/>
      <c r="B189" s="111"/>
      <c r="C189" s="264"/>
      <c r="E189" s="87"/>
      <c r="F189" s="144"/>
    </row>
    <row r="190" spans="1:6">
      <c r="A190" s="110"/>
      <c r="B190" s="111"/>
      <c r="C190" s="264"/>
      <c r="E190" s="87"/>
      <c r="F190" s="144"/>
    </row>
    <row r="191" spans="1:6">
      <c r="A191" s="110"/>
      <c r="B191" s="111"/>
      <c r="C191" s="264"/>
      <c r="E191" s="87"/>
      <c r="F191" s="144"/>
    </row>
    <row r="192" spans="1:6">
      <c r="A192" s="110"/>
      <c r="B192" s="111"/>
      <c r="C192" s="264"/>
      <c r="E192" s="87"/>
      <c r="F192" s="144"/>
    </row>
    <row r="193" spans="1:6">
      <c r="A193" s="110"/>
      <c r="B193" s="111"/>
      <c r="C193" s="264"/>
      <c r="E193" s="87"/>
      <c r="F193" s="144"/>
    </row>
    <row r="194" spans="1:6">
      <c r="A194" s="110"/>
      <c r="B194" s="111"/>
      <c r="C194" s="264"/>
      <c r="E194" s="87"/>
      <c r="F194" s="144"/>
    </row>
    <row r="195" spans="1:6">
      <c r="A195" s="110"/>
      <c r="B195" s="111"/>
      <c r="C195" s="264"/>
      <c r="E195" s="87"/>
      <c r="F195" s="144"/>
    </row>
    <row r="196" spans="1:6">
      <c r="A196" s="110"/>
      <c r="B196" s="111"/>
      <c r="C196" s="264"/>
      <c r="E196" s="87"/>
      <c r="F196" s="144"/>
    </row>
    <row r="197" spans="1:6">
      <c r="A197" s="110"/>
      <c r="B197" s="111"/>
      <c r="C197" s="264"/>
      <c r="E197" s="87"/>
      <c r="F197" s="144"/>
    </row>
    <row r="198" spans="1:6">
      <c r="A198" s="110"/>
      <c r="B198" s="111"/>
      <c r="C198" s="264"/>
      <c r="E198" s="87"/>
      <c r="F198" s="144"/>
    </row>
  </sheetData>
  <mergeCells count="8">
    <mergeCell ref="C106:E106"/>
    <mergeCell ref="H2:H3"/>
    <mergeCell ref="A1:H1"/>
    <mergeCell ref="G2:G3"/>
    <mergeCell ref="A2:A3"/>
    <mergeCell ref="B2:B3"/>
    <mergeCell ref="C2:D2"/>
    <mergeCell ref="E2:F2"/>
  </mergeCells>
  <phoneticPr fontId="3" type="noConversion"/>
  <printOptions horizontalCentered="1"/>
  <pageMargins left="0" right="0" top="0" bottom="0" header="0" footer="0"/>
  <pageSetup paperSize="9" scale="4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2"/>
  <dimension ref="A1"/>
  <sheetViews>
    <sheetView workbookViewId="0">
      <selection activeCell="G37" sqref="G37"/>
    </sheetView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G103"/>
  <sheetViews>
    <sheetView topLeftCell="A63" zoomScale="90" zoomScaleNormal="90" workbookViewId="0">
      <selection activeCell="B94" sqref="B94:J101"/>
    </sheetView>
  </sheetViews>
  <sheetFormatPr defaultRowHeight="12.75"/>
  <cols>
    <col min="1" max="1" width="9.5703125" customWidth="1"/>
    <col min="2" max="2" width="35.42578125" style="146" bestFit="1" customWidth="1"/>
    <col min="3" max="3" width="17.140625" style="223" hidden="1" customWidth="1"/>
    <col min="4" max="4" width="15.42578125" hidden="1" customWidth="1"/>
    <col min="5" max="5" width="16.7109375" style="3" hidden="1" customWidth="1"/>
    <col min="6" max="6" width="15.42578125" hidden="1" customWidth="1"/>
    <col min="7" max="7" width="16.140625" style="23" hidden="1" customWidth="1"/>
    <col min="8" max="8" width="15" hidden="1" customWidth="1"/>
    <col min="9" max="9" width="16.7109375" hidden="1" customWidth="1"/>
    <col min="10" max="10" width="16.140625" style="147" customWidth="1"/>
    <col min="11" max="11" width="15.85546875" hidden="1" customWidth="1"/>
    <col min="12" max="12" width="14.5703125" style="23" hidden="1" customWidth="1"/>
    <col min="13" max="14" width="13.85546875" style="23" hidden="1" customWidth="1"/>
    <col min="15" max="15" width="15.5703125" style="3" hidden="1" customWidth="1"/>
    <col min="16" max="16" width="16.140625" hidden="1" customWidth="1"/>
    <col min="17" max="18" width="15.85546875" hidden="1" customWidth="1"/>
    <col min="19" max="19" width="16.28515625" style="23" hidden="1" customWidth="1"/>
    <col min="20" max="20" width="16.28515625" hidden="1" customWidth="1"/>
    <col min="21" max="21" width="15.140625" hidden="1" customWidth="1"/>
    <col min="22" max="22" width="14.85546875" hidden="1" customWidth="1"/>
    <col min="23" max="23" width="18.140625" style="3" hidden="1" customWidth="1"/>
    <col min="24" max="25" width="18.42578125" style="3" hidden="1" customWidth="1"/>
    <col min="26" max="26" width="15.5703125" style="195" hidden="1" customWidth="1"/>
    <col min="27" max="29" width="15.5703125" style="197" hidden="1" customWidth="1"/>
    <col min="30" max="30" width="18.28515625" style="197" hidden="1" customWidth="1"/>
    <col min="31" max="31" width="10" bestFit="1" customWidth="1"/>
    <col min="32" max="32" width="11" bestFit="1" customWidth="1"/>
    <col min="33" max="33" width="9.85546875" bestFit="1" customWidth="1"/>
  </cols>
  <sheetData>
    <row r="1" spans="1:30">
      <c r="D1" t="s">
        <v>188</v>
      </c>
      <c r="AA1" s="196">
        <v>2538.6799999999985</v>
      </c>
      <c r="AB1" s="196"/>
    </row>
    <row r="2" spans="1:30" ht="117" customHeight="1">
      <c r="A2" s="148" t="s">
        <v>116</v>
      </c>
      <c r="B2" s="149" t="s">
        <v>0</v>
      </c>
      <c r="C2" s="224" t="s">
        <v>186</v>
      </c>
      <c r="D2" s="149" t="s">
        <v>187</v>
      </c>
      <c r="E2" s="150" t="s">
        <v>179</v>
      </c>
      <c r="F2" s="149" t="s">
        <v>180</v>
      </c>
      <c r="G2" s="149" t="s">
        <v>181</v>
      </c>
      <c r="H2" s="149" t="s">
        <v>182</v>
      </c>
      <c r="I2" s="149" t="s">
        <v>183</v>
      </c>
      <c r="J2" s="150" t="s">
        <v>117</v>
      </c>
      <c r="K2" s="149" t="s">
        <v>166</v>
      </c>
      <c r="L2" s="149" t="s">
        <v>167</v>
      </c>
      <c r="M2" s="149" t="s">
        <v>168</v>
      </c>
      <c r="N2" s="150" t="s">
        <v>169</v>
      </c>
      <c r="O2" s="150" t="s">
        <v>170</v>
      </c>
      <c r="P2" s="149" t="s">
        <v>171</v>
      </c>
      <c r="Q2" s="149" t="s">
        <v>172</v>
      </c>
      <c r="R2" s="149" t="s">
        <v>173</v>
      </c>
      <c r="S2" s="149" t="s">
        <v>174</v>
      </c>
      <c r="T2" s="149" t="s">
        <v>175</v>
      </c>
      <c r="U2" s="149" t="s">
        <v>176</v>
      </c>
      <c r="V2" s="149" t="s">
        <v>177</v>
      </c>
      <c r="W2" s="150" t="s">
        <v>189</v>
      </c>
      <c r="X2" s="150" t="s">
        <v>178</v>
      </c>
      <c r="Y2" s="150"/>
      <c r="Z2" s="150" t="s">
        <v>190</v>
      </c>
      <c r="AA2" s="150"/>
      <c r="AB2" s="150"/>
      <c r="AC2" s="150"/>
      <c r="AD2" s="150" t="s">
        <v>191</v>
      </c>
    </row>
    <row r="3" spans="1:30" ht="12.75" customHeight="1">
      <c r="A3" s="131" t="s">
        <v>118</v>
      </c>
      <c r="B3" s="151" t="s">
        <v>119</v>
      </c>
      <c r="C3" s="225">
        <v>0</v>
      </c>
      <c r="D3" s="198">
        <f>GETPIVOTDATA("Сумма по полю Сумма задолженности на начало года",'[1]СВОД с расшиф'!$A$5,"Округ","Б","Наименование территории","БАЙКОНУР (КАЗАХСТАН)")</f>
        <v>0</v>
      </c>
      <c r="E3" s="152">
        <f>F3+G3+H3+I3</f>
        <v>0</v>
      </c>
      <c r="F3" s="198">
        <f>GETPIVOTDATA("Сумма по полю Сумма задолженности на начало года повторно выставленные",'[1]СВОД с расшиф'!$A$5,"Округ","Б","Наименование территории","БАЙКОНУР (КАЗАХСТАН)")</f>
        <v>0</v>
      </c>
      <c r="G3" s="199">
        <f>GETPIVOTDATA("Сумма по полю Сумма выставленного счета в отчетном периоде",'[1]СВОД с расшиф'!$A$5,"Округ","Б","Наименование территории","БАЙКОНУР (КАЗАХСТАН)")</f>
        <v>0</v>
      </c>
      <c r="H3" s="198">
        <f>GETPIVOTDATA("Сумма по полю Сумма повторно выставленного счета в отчетном периоде",'[1]СВОД с расшиф'!$A$5,"Округ","Б","Наименование территории","БАЙКОНУР (КАЗАХСТАН)")</f>
        <v>0</v>
      </c>
      <c r="I3" s="198">
        <f>GETPIVOTDATA("Сумма по полю Сумма выставленного за предыдущие периоды",'[1]СВОД с расшиф'!$A$5,"Округ","Б","Наименование территории","БАЙКОНУР (КАЗАХСТАН)")</f>
        <v>0</v>
      </c>
      <c r="J3" s="152">
        <f>K3+L3+M3</f>
        <v>0</v>
      </c>
      <c r="K3" s="198">
        <f>GETPIVOTDATA("Сумма по полю Оплаченная сумма по задолженности на начало года",'[1]СВОД с расшиф'!$A$5,"Округ","Б","Наименование территории","БАЙКОНУР (КАЗАХСТАН)")</f>
        <v>0</v>
      </c>
      <c r="L3" s="199">
        <f>GETPIVOTDATA("Сумма по полю Оплаченная сумма по  выставленным счетам в отчетном периоде",'[1]СВОД с расшиф'!$A$5,"Округ","Б","Наименование территории","БАЙКОНУР (КАЗАХСТАН)")</f>
        <v>0</v>
      </c>
      <c r="M3" s="199">
        <f>GETPIVOTDATA("Сумма по полю Оплаченная сумма за предыдущие  периоды",'[1]СВОД с расшиф'!$A$5,"Округ","Б","Наименование территории","БАЙКОНУР (КАЗАХСТАН)")</f>
        <v>0</v>
      </c>
      <c r="N3" s="200">
        <f>P3+S3</f>
        <v>0</v>
      </c>
      <c r="O3" s="152">
        <f>P3+Q3+R3+S3+T3+U3+V3</f>
        <v>0</v>
      </c>
      <c r="P3" s="198">
        <f>GETPIVOTDATA("Сумма по полю Сумма отклонения по  счетам задолженности на начало года",'[1]СВОД с расшиф'!$A$5,"Округ","Б","Наименование территории","БАЙКОНУР (КАЗАХСТАН)")</f>
        <v>0</v>
      </c>
      <c r="Q3" s="198">
        <f>GETPIVOTDATA("Сумма по полю Сумма отклонения по дешкам задолженности на начало года",'[1]СВОД с расшиф'!$A$5,"Округ","Б","Наименование территории","БАЙКОНУР (КАЗАХСТАН)")</f>
        <v>0</v>
      </c>
      <c r="R3" s="198">
        <f>GETPIVOTDATA("Сумма по полю Повтороное отклонение по дешкам задолженности на начало года",'[1]СВОД с расшиф'!$A$5,"Округ","Б","Наименование территории","БАЙКОНУР (КАЗАХСТАН)")</f>
        <v>0</v>
      </c>
      <c r="S3" s="199">
        <f>GETPIVOTDATA("Сумма по полю Сумма отклонения по  выставленным счетам в отчетном периоде",'[1]СВОД с расшиф'!$A$5,"Округ","Б","Наименование территории","БАЙКОНУР (КАЗАХСТАН)")</f>
        <v>0</v>
      </c>
      <c r="T3" s="198">
        <f>GETPIVOTDATA("Сумма по полю Сумма отклонения по  выставленным счетам в отчетном периоде по дешкам",'[1]СВОД с расшиф'!$A$5,"Округ","Б","Наименование территории","БАЙКОНУР (КАЗАХСТАН)")</f>
        <v>0</v>
      </c>
      <c r="U3" s="198">
        <f>GETPIVOTDATA("Сумма по полю Повторное отклонение по дешкам отчетного периода",'[1]СВОД с расшиф'!$A$5,"Округ","Б","Наименование территории","БАЙКОНУР (КАЗАХСТАН)")</f>
        <v>0</v>
      </c>
      <c r="V3" s="198">
        <f>GETPIVOTDATA("Сумма по полю Сумма отклонения по  выставленным счетам за предыдущие периоды",'[1]СВОД с расшиф'!$A$5,"Округ","Б","Наименование территории","БАЙКОНУР (КАЗАХСТАН)")</f>
        <v>0</v>
      </c>
      <c r="W3" s="152">
        <f>GETPIVOTDATA("Сумма по полю Задолженность по счету",'[1]СВОД с расшиф'!$A$5,"Округ","Б","Наименование территории","БАЙКОНУР (КАЗАХСТАН)")</f>
        <v>0</v>
      </c>
      <c r="X3" s="152">
        <f>D3+G3+I3+H3-J3-P3-S3-V3-U3-T3</f>
        <v>0</v>
      </c>
      <c r="Y3" s="152">
        <f>W3-X3</f>
        <v>0</v>
      </c>
      <c r="Z3" s="152">
        <f>D3+G3-J3-N3+M3</f>
        <v>0</v>
      </c>
      <c r="AA3" s="152">
        <v>0</v>
      </c>
      <c r="AB3" s="152">
        <f>Z3-AA3</f>
        <v>0</v>
      </c>
      <c r="AC3" s="152">
        <f>D3+G3+I3-K3-L3-M3-N3</f>
        <v>0</v>
      </c>
      <c r="AD3" s="152">
        <f>W3-Z3</f>
        <v>0</v>
      </c>
    </row>
    <row r="4" spans="1:30" s="156" customFormat="1">
      <c r="A4" s="153" t="s">
        <v>120</v>
      </c>
      <c r="B4" s="154"/>
      <c r="C4" s="201">
        <f>C3</f>
        <v>0</v>
      </c>
      <c r="D4" s="202">
        <f>SUM(D3)</f>
        <v>0</v>
      </c>
      <c r="E4" s="155">
        <f>SUM(E3)</f>
        <v>0</v>
      </c>
      <c r="F4" s="202">
        <f>SUM(F3)</f>
        <v>0</v>
      </c>
      <c r="G4" s="202">
        <f t="shared" ref="G4:W4" si="0">SUM(G3)</f>
        <v>0</v>
      </c>
      <c r="H4" s="202">
        <f t="shared" si="0"/>
        <v>0</v>
      </c>
      <c r="I4" s="202">
        <f t="shared" si="0"/>
        <v>0</v>
      </c>
      <c r="J4" s="155">
        <f t="shared" si="0"/>
        <v>0</v>
      </c>
      <c r="K4" s="202">
        <f t="shared" si="0"/>
        <v>0</v>
      </c>
      <c r="L4" s="202">
        <f t="shared" si="0"/>
        <v>0</v>
      </c>
      <c r="M4" s="202">
        <f t="shared" si="0"/>
        <v>0</v>
      </c>
      <c r="N4" s="203">
        <f t="shared" ref="N4:N67" si="1">P4+S4</f>
        <v>0</v>
      </c>
      <c r="O4" s="185">
        <f>SUM(O3)</f>
        <v>0</v>
      </c>
      <c r="P4" s="202">
        <f t="shared" si="0"/>
        <v>0</v>
      </c>
      <c r="Q4" s="202">
        <f t="shared" si="0"/>
        <v>0</v>
      </c>
      <c r="R4" s="202">
        <f t="shared" si="0"/>
        <v>0</v>
      </c>
      <c r="S4" s="202">
        <f t="shared" si="0"/>
        <v>0</v>
      </c>
      <c r="T4" s="202">
        <f t="shared" si="0"/>
        <v>0</v>
      </c>
      <c r="U4" s="202">
        <f t="shared" si="0"/>
        <v>0</v>
      </c>
      <c r="V4" s="202">
        <f t="shared" si="0"/>
        <v>0</v>
      </c>
      <c r="W4" s="155">
        <f t="shared" si="0"/>
        <v>0</v>
      </c>
      <c r="X4" s="204">
        <f t="shared" ref="X4:X67" si="2">D4+G4+I4+H4-J4-P4-S4-V4-U4-T4</f>
        <v>0</v>
      </c>
      <c r="Y4" s="204">
        <f t="shared" ref="Y4:Y67" si="3">W4-X4</f>
        <v>0</v>
      </c>
      <c r="Z4" s="155">
        <f t="shared" ref="Z4:Z67" si="4">D4+G4-J4-N4+M4</f>
        <v>0</v>
      </c>
      <c r="AA4" s="155">
        <v>0</v>
      </c>
      <c r="AB4" s="155">
        <f t="shared" ref="AB4:AB67" si="5">Z4-AA4</f>
        <v>0</v>
      </c>
      <c r="AC4" s="155">
        <f t="shared" ref="AC4:AC67" si="6">D4+G4+I4-K4-L4-M4-N4</f>
        <v>0</v>
      </c>
      <c r="AD4" s="155">
        <f t="shared" ref="AD4:AD67" si="7">W4-Z4</f>
        <v>0</v>
      </c>
    </row>
    <row r="5" spans="1:30" ht="12" customHeight="1">
      <c r="A5" s="131" t="s">
        <v>121</v>
      </c>
      <c r="B5" s="151" t="s">
        <v>82</v>
      </c>
      <c r="C5" s="198">
        <v>40553.4</v>
      </c>
      <c r="D5" s="198">
        <f>GETPIVOTDATA("Сумма по полю Сумма задолженности на начало года",'[1]СВОД с расшиф'!$A$5,"Округ","ДФО","Наименование территории","АМУРСКАЯ ОБЛАСТЬ")</f>
        <v>40553.4</v>
      </c>
      <c r="E5" s="152">
        <f>F5+G5+H5+I5</f>
        <v>16106</v>
      </c>
      <c r="F5" s="198">
        <f>GETPIVOTDATA("Сумма по полю Сумма задолженности на начало года повторно выставленные",'[1]СВОД с расшиф'!$A$5,"Округ","ДФО","Наименование территории","АМУРСКАЯ ОБЛАСТЬ")</f>
        <v>0</v>
      </c>
      <c r="G5" s="199">
        <f>GETPIVOTDATA("Сумма по полю Сумма выставленного счета в отчетном периоде",'[1]СВОД с расшиф'!$A$5,"Округ","ДФО","Наименование территории","АМУРСКАЯ ОБЛАСТЬ")</f>
        <v>16106</v>
      </c>
      <c r="H5" s="198">
        <f>GETPIVOTDATA("Сумма по полю Сумма повторно выставленного счета в отчетном периоде",'[1]СВОД с расшиф'!$A$5,"Округ","ДФО","Наименование территории","АМУРСКАЯ ОБЛАСТЬ")</f>
        <v>0</v>
      </c>
      <c r="I5" s="198">
        <f>GETPIVOTDATA("Сумма по полю Сумма выставленного за предыдущие периоды",'[1]СВОД с расшиф'!$A$5,"Округ","ДФО","Наименование территории","АМУРСКАЯ ОБЛАСТЬ")</f>
        <v>0</v>
      </c>
      <c r="J5" s="152">
        <f t="shared" ref="J5:J68" si="8">K5+L5+M5</f>
        <v>47439.4</v>
      </c>
      <c r="K5" s="198">
        <f>GETPIVOTDATA("Сумма по полю Оплаченная сумма по задолженности на начало года",'[1]СВОД с расшиф'!$A$5,"Округ","ДФО","Наименование территории","АМУРСКАЯ ОБЛАСТЬ")</f>
        <v>40553.4</v>
      </c>
      <c r="L5" s="199">
        <f>GETPIVOTDATA("Сумма по полю Оплаченная сумма по  выставленным счетам в отчетном периоде",'[1]СВОД с расшиф'!$A$5,"Округ","ДФО","Наименование территории","АМУРСКАЯ ОБЛАСТЬ")</f>
        <v>6886</v>
      </c>
      <c r="M5" s="199">
        <f>GETPIVOTDATA("Сумма по полю Оплаченная сумма за предыдущие  периоды",'[1]СВОД с расшиф'!$A$5,"Округ","ДФО","Наименование территории","АМУРСКАЯ ОБЛАСТЬ")</f>
        <v>0</v>
      </c>
      <c r="N5" s="200">
        <f t="shared" si="1"/>
        <v>0</v>
      </c>
      <c r="O5" s="152">
        <f>P5+Q5+R5+S5+T5+U5+V5</f>
        <v>0</v>
      </c>
      <c r="P5" s="198">
        <f>GETPIVOTDATA("Сумма по полю Сумма отклонения по  счетам задолженности на начало года",'[1]СВОД с расшиф'!$A$5,"Округ","ДФО","Наименование территории","АМУРСКАЯ ОБЛАСТЬ")</f>
        <v>0</v>
      </c>
      <c r="Q5" s="198">
        <f>GETPIVOTDATA("Сумма по полю Сумма отклонения по дешкам задолженности на начало года",'[1]СВОД с расшиф'!$A$5,"Округ","ДФО","Наименование территории","АМУРСКАЯ ОБЛАСТЬ")</f>
        <v>0</v>
      </c>
      <c r="R5" s="198">
        <f>GETPIVOTDATA("Сумма по полю Повтороное отклонение по дешкам задолженности на начало года",'[1]СВОД с расшиф'!$A$5,"Округ","ДФО","Наименование территории","АМУРСКАЯ ОБЛАСТЬ")</f>
        <v>0</v>
      </c>
      <c r="S5" s="199">
        <f>GETPIVOTDATA("Сумма по полю Сумма отклонения по  выставленным счетам в отчетном периоде",'[1]СВОД с расшиф'!$A$5,"Округ","ДФО","Наименование территории","АМУРСКАЯ ОБЛАСТЬ")</f>
        <v>0</v>
      </c>
      <c r="T5" s="198">
        <f>GETPIVOTDATA("Сумма по полю Сумма отклонения по  выставленным счетам в отчетном периоде по дешкам",'[1]СВОД с расшиф'!$A$5,"Округ","ДФО","Наименование территории","АМУРСКАЯ ОБЛАСТЬ")</f>
        <v>0</v>
      </c>
      <c r="U5" s="198">
        <f>GETPIVOTDATA("Сумма по полю Повторное отклонение по дешкам отчетного периода",'[1]СВОД с расшиф'!$A$5,"Округ","ДФО","Наименование территории","АМУРСКАЯ ОБЛАСТЬ")</f>
        <v>0</v>
      </c>
      <c r="V5" s="198">
        <f>GETPIVOTDATA("Сумма по полю Сумма отклонения по  выставленным счетам за предыдущие периоды",'[1]СВОД с расшиф'!$A$5,"Округ","ДФО","Наименование территории","АМУРСКАЯ ОБЛАСТЬ")</f>
        <v>0</v>
      </c>
      <c r="W5" s="152">
        <f>GETPIVOTDATA("Сумма по полю Задолженность по счету",'[1]СВОД с расшиф'!$A$5,"Округ","ДФО","Наименование территории","АМУРСКАЯ ОБЛАСТЬ")</f>
        <v>9220</v>
      </c>
      <c r="X5" s="205">
        <f t="shared" si="2"/>
        <v>9220</v>
      </c>
      <c r="Y5" s="205">
        <f t="shared" si="3"/>
        <v>0</v>
      </c>
      <c r="Z5" s="152">
        <f t="shared" si="4"/>
        <v>9220</v>
      </c>
      <c r="AA5" s="205">
        <v>-3.637978807091713E-12</v>
      </c>
      <c r="AB5" s="205">
        <f t="shared" si="5"/>
        <v>9220.0000000000036</v>
      </c>
      <c r="AC5" s="205">
        <f t="shared" si="6"/>
        <v>9220</v>
      </c>
      <c r="AD5" s="152">
        <f t="shared" si="7"/>
        <v>0</v>
      </c>
    </row>
    <row r="6" spans="1:30">
      <c r="A6" s="131"/>
      <c r="B6" s="151" t="s">
        <v>83</v>
      </c>
      <c r="C6" s="198">
        <v>1147.45</v>
      </c>
      <c r="D6" s="198">
        <f>GETPIVOTDATA("Сумма по полю Сумма задолженности на начало года",'[1]СВОД с расшиф'!$A$5,"Округ","ДФО","Наименование территории","ЕВРЕЙСКАЯ АО")</f>
        <v>1147.45</v>
      </c>
      <c r="E6" s="152">
        <f t="shared" ref="E6:E15" si="9">F6+G6+H6+I6</f>
        <v>4792.04</v>
      </c>
      <c r="F6" s="198">
        <f>GETPIVOTDATA("Сумма по полю Сумма задолженности на начало года повторно выставленные",'[1]СВОД с расшиф'!$A$5,"Округ","ДФО","Наименование территории","ЕВРЕЙСКАЯ АО")</f>
        <v>0</v>
      </c>
      <c r="G6" s="199">
        <f>GETPIVOTDATA("Сумма по полю Сумма выставленного счета в отчетном периоде",'[1]СВОД с расшиф'!$A$5,"Округ","ДФО","Наименование территории","ЕВРЕЙСКАЯ АО")</f>
        <v>4792.04</v>
      </c>
      <c r="H6" s="198">
        <f>GETPIVOTDATA("Сумма по полю Сумма повторно выставленного счета в отчетном периоде",'[1]СВОД с расшиф'!$A$5,"Округ","ДФО","Наименование территории","ЕВРЕЙСКАЯ АО")</f>
        <v>0</v>
      </c>
      <c r="I6" s="198">
        <f>GETPIVOTDATA("Сумма по полю Сумма выставленного за предыдущие периоды",'[1]СВОД с расшиф'!$A$5,"Округ","ДФО","Наименование территории","ЕВРЕЙСКАЯ АО")</f>
        <v>0</v>
      </c>
      <c r="J6" s="152">
        <f t="shared" si="8"/>
        <v>2855.77</v>
      </c>
      <c r="K6" s="198">
        <f>GETPIVOTDATA("Сумма по полю Оплаченная сумма по задолженности на начало года",'[1]СВОД с расшиф'!$A$5,"Округ","ДФО","Наименование территории","ЕВРЕЙСКАЯ АО")</f>
        <v>1147.45</v>
      </c>
      <c r="L6" s="199">
        <f>GETPIVOTDATA("Сумма по полю Оплаченная сумма по  выставленным счетам в отчетном периоде",'[1]СВОД с расшиф'!$A$5,"Округ","ДФО","Наименование территории","ЕВРЕЙСКАЯ АО")</f>
        <v>1708.32</v>
      </c>
      <c r="M6" s="199">
        <f>GETPIVOTDATA("Сумма по полю Оплаченная сумма за предыдущие  периоды",'[1]СВОД с расшиф'!$A$5,"Округ","ДФО","Наименование территории","ЕВРЕЙСКАЯ АО")</f>
        <v>0</v>
      </c>
      <c r="N6" s="200">
        <f t="shared" si="1"/>
        <v>0</v>
      </c>
      <c r="O6" s="152">
        <f t="shared" ref="O6:O15" si="10">P6+Q6+R6+S6+T6+U6+V6</f>
        <v>0</v>
      </c>
      <c r="P6" s="198">
        <f>GETPIVOTDATA("Сумма по полю Сумма отклонения по  счетам задолженности на начало года",'[1]СВОД с расшиф'!$A$5,"Округ","ДФО","Наименование территории","ЕВРЕЙСКАЯ АО")</f>
        <v>0</v>
      </c>
      <c r="Q6" s="198">
        <f>GETPIVOTDATA("Сумма по полю Сумма отклонения по дешкам задолженности на начало года",'[1]СВОД с расшиф'!$A$5,"Округ","ДФО","Наименование территории","ЕВРЕЙСКАЯ АО")</f>
        <v>0</v>
      </c>
      <c r="R6" s="198">
        <f>GETPIVOTDATA("Сумма по полю Повтороное отклонение по дешкам задолженности на начало года",'[1]СВОД с расшиф'!$A$5,"Округ","ДФО","Наименование территории","ЕВРЕЙСКАЯ АО")</f>
        <v>0</v>
      </c>
      <c r="S6" s="199">
        <f>GETPIVOTDATA("Сумма по полю Сумма отклонения по  выставленным счетам в отчетном периоде",'[1]СВОД с расшиф'!$A$5,"Округ","ДФО","Наименование территории","ЕВРЕЙСКАЯ АО")</f>
        <v>0</v>
      </c>
      <c r="T6" s="198">
        <f>GETPIVOTDATA("Сумма по полю Сумма отклонения по  выставленным счетам в отчетном периоде по дешкам",'[1]СВОД с расшиф'!$A$5,"Округ","ДФО","Наименование территории","ЕВРЕЙСКАЯ АО")</f>
        <v>0</v>
      </c>
      <c r="U6" s="198">
        <f>GETPIVOTDATA("Сумма по полю Повторное отклонение по дешкам отчетного периода",'[1]СВОД с расшиф'!$A$5,"Округ","ДФО","Наименование территории","ЕВРЕЙСКАЯ АО")</f>
        <v>0</v>
      </c>
      <c r="V6" s="198">
        <f>GETPIVOTDATA("Сумма по полю Сумма отклонения по  выставленным счетам за предыдущие периоды",'[1]СВОД с расшиф'!$A$5,"Округ","ДФО","Наименование территории","ЕВРЕЙСКАЯ АО")</f>
        <v>0</v>
      </c>
      <c r="W6" s="152">
        <f>GETPIVOTDATA("Сумма по полю Задолженность по счету",'[1]СВОД с расшиф'!$A$5,"Округ","ДФО","Наименование территории","ЕВРЕЙСКАЯ АО")</f>
        <v>3083.72</v>
      </c>
      <c r="X6" s="205">
        <f t="shared" si="2"/>
        <v>3083.72</v>
      </c>
      <c r="Y6" s="205">
        <f t="shared" si="3"/>
        <v>0</v>
      </c>
      <c r="Z6" s="152">
        <f t="shared" si="4"/>
        <v>3083.72</v>
      </c>
      <c r="AA6" s="205">
        <v>1908.04</v>
      </c>
      <c r="AB6" s="205">
        <f t="shared" si="5"/>
        <v>1175.6799999999998</v>
      </c>
      <c r="AC6" s="205">
        <f t="shared" si="6"/>
        <v>3083.7200000000003</v>
      </c>
      <c r="AD6" s="152">
        <f t="shared" si="7"/>
        <v>0</v>
      </c>
    </row>
    <row r="7" spans="1:30">
      <c r="A7" s="131"/>
      <c r="B7" s="151" t="s">
        <v>70</v>
      </c>
      <c r="C7" s="198">
        <v>113.31</v>
      </c>
      <c r="D7" s="198">
        <f>GETPIVOTDATA("Сумма по полю Сумма задолженности на начало года",'[1]СВОД с расшиф'!$A$5,"Округ","ДФО","Наименование территории","ЗАБАЙКАЛЬСКИЙ КРАЙ")</f>
        <v>113.31</v>
      </c>
      <c r="E7" s="152">
        <f t="shared" si="9"/>
        <v>0</v>
      </c>
      <c r="F7" s="198">
        <f>GETPIVOTDATA("Сумма по полю Сумма задолженности на начало года повторно выставленные",'[1]СВОД с расшиф'!$A$5,"Округ","ДФО","Наименование территории","ЗАБАЙКАЛЬСКИЙ КРАЙ")</f>
        <v>0</v>
      </c>
      <c r="G7" s="199">
        <f>GETPIVOTDATA("Сумма по полю Сумма выставленного счета в отчетном периоде",'[1]СВОД с расшиф'!$A$5,"Округ","ДФО","Наименование территории","ЗАБАЙКАЛЬСКИЙ КРАЙ")</f>
        <v>0</v>
      </c>
      <c r="H7" s="198">
        <f>GETPIVOTDATA("Сумма по полю Сумма повторно выставленного счета в отчетном периоде",'[1]СВОД с расшиф'!$A$5,"Округ","ДФО","Наименование территории","ЗАБАЙКАЛЬСКИЙ КРАЙ")</f>
        <v>0</v>
      </c>
      <c r="I7" s="198">
        <f>GETPIVOTDATA("Сумма по полю Сумма выставленного за предыдущие периоды",'[1]СВОД с расшиф'!$A$5,"Округ","ДФО","Наименование территории","ЗАБАЙКАЛЬСКИЙ КРАЙ")</f>
        <v>0</v>
      </c>
      <c r="J7" s="152">
        <f t="shared" si="8"/>
        <v>113.31</v>
      </c>
      <c r="K7" s="198">
        <f>GETPIVOTDATA("Сумма по полю Оплаченная сумма по задолженности на начало года",'[1]СВОД с расшиф'!$A$5,"Округ","ДФО","Наименование территории","ЗАБАЙКАЛЬСКИЙ КРАЙ")</f>
        <v>113.31</v>
      </c>
      <c r="L7" s="199">
        <f>GETPIVOTDATA("Сумма по полю Оплаченная сумма по  выставленным счетам в отчетном периоде",'[1]СВОД с расшиф'!$A$5,"Округ","ДФО","Наименование территории","ЗАБАЙКАЛЬСКИЙ КРАЙ")</f>
        <v>0</v>
      </c>
      <c r="M7" s="199">
        <f>GETPIVOTDATA("Сумма по полю Оплаченная сумма за предыдущие  периоды",'[1]СВОД с расшиф'!$A$5,"Округ","ДФО","Наименование территории","ЗАБАЙКАЛЬСКИЙ КРАЙ")</f>
        <v>0</v>
      </c>
      <c r="N7" s="200">
        <f t="shared" si="1"/>
        <v>0</v>
      </c>
      <c r="O7" s="152">
        <f t="shared" si="10"/>
        <v>0</v>
      </c>
      <c r="P7" s="198">
        <f>GETPIVOTDATA("Сумма по полю Сумма отклонения по  счетам задолженности на начало года",'[1]СВОД с расшиф'!$A$5,"Округ","ДФО","Наименование территории","ЗАБАЙКАЛЬСКИЙ КРАЙ")</f>
        <v>0</v>
      </c>
      <c r="Q7" s="198">
        <f>GETPIVOTDATA("Сумма по полю Сумма отклонения по дешкам задолженности на начало года",'[1]СВОД с расшиф'!$A$5,"Округ","ДФО","Наименование территории","ЗАБАЙКАЛЬСКИЙ КРАЙ")</f>
        <v>0</v>
      </c>
      <c r="R7" s="198">
        <f>GETPIVOTDATA("Сумма по полю Повтороное отклонение по дешкам задолженности на начало года",'[1]СВОД с расшиф'!$A$5,"Округ","ДФО","Наименование территории","ЗАБАЙКАЛЬСКИЙ КРАЙ")</f>
        <v>0</v>
      </c>
      <c r="S7" s="199">
        <f>GETPIVOTDATA("Сумма по полю Сумма отклонения по  выставленным счетам в отчетном периоде",'[1]СВОД с расшиф'!$A$5,"Округ","ДФО","Наименование территории","ЗАБАЙКАЛЬСКИЙ КРАЙ")</f>
        <v>0</v>
      </c>
      <c r="T7" s="198">
        <f>GETPIVOTDATA("Сумма по полю Сумма отклонения по  выставленным счетам в отчетном периоде по дешкам",'[1]СВОД с расшиф'!$A$5,"Округ","ДФО","Наименование территории","ЗАБАЙКАЛЬСКИЙ КРАЙ")</f>
        <v>0</v>
      </c>
      <c r="U7" s="198">
        <f>GETPIVOTDATA("Сумма по полю Повторное отклонение по дешкам отчетного периода",'[1]СВОД с расшиф'!$A$5,"Округ","ДФО","Наименование территории","ЗАБАЙКАЛЬСКИЙ КРАЙ")</f>
        <v>0</v>
      </c>
      <c r="V7" s="198">
        <f>GETPIVOTDATA("Сумма по полю Сумма отклонения по  выставленным счетам за предыдущие периоды",'[1]СВОД с расшиф'!$A$5,"Округ","ДФО","Наименование территории","ЗАБАЙКАЛЬСКИЙ КРАЙ")</f>
        <v>0</v>
      </c>
      <c r="W7" s="152">
        <f>GETPIVOTDATA("Сумма по полю Задолженность по счету",'[1]СВОД с расшиф'!$A$5,"Округ","ДФО","Наименование территории","ЗАБАЙКАЛЬСКИЙ КРАЙ")</f>
        <v>0</v>
      </c>
      <c r="X7" s="205">
        <f t="shared" si="2"/>
        <v>0</v>
      </c>
      <c r="Y7" s="205">
        <f t="shared" si="3"/>
        <v>0</v>
      </c>
      <c r="Z7" s="152">
        <f t="shared" si="4"/>
        <v>0</v>
      </c>
      <c r="AA7" s="205">
        <v>42889.710000000006</v>
      </c>
      <c r="AB7" s="205">
        <f t="shared" si="5"/>
        <v>-42889.710000000006</v>
      </c>
      <c r="AC7" s="205">
        <f t="shared" si="6"/>
        <v>0</v>
      </c>
      <c r="AD7" s="152">
        <f t="shared" si="7"/>
        <v>0</v>
      </c>
    </row>
    <row r="8" spans="1:30">
      <c r="A8" s="131"/>
      <c r="B8" s="151" t="s">
        <v>84</v>
      </c>
      <c r="C8" s="198">
        <v>0</v>
      </c>
      <c r="D8" s="198">
        <f>GETPIVOTDATA("Сумма по полю Сумма задолженности на начало года",'[1]СВОД с расшиф'!$A$5,"Округ","ДФО","Наименование территории","КАМЧАТСКИЙ КРАЙ")</f>
        <v>0</v>
      </c>
      <c r="E8" s="152">
        <f t="shared" si="9"/>
        <v>8996.94</v>
      </c>
      <c r="F8" s="198">
        <f>GETPIVOTDATA("Сумма по полю Сумма задолженности на начало года повторно выставленные",'[1]СВОД с расшиф'!$A$5,"Округ","ДФО","Наименование территории","КАМЧАТСКИЙ КРАЙ")</f>
        <v>0</v>
      </c>
      <c r="G8" s="199">
        <f>GETPIVOTDATA("Сумма по полю Сумма выставленного счета в отчетном периоде",'[1]СВОД с расшиф'!$A$5,"Округ","ДФО","Наименование территории","КАМЧАТСКИЙ КРАЙ")</f>
        <v>8996.94</v>
      </c>
      <c r="H8" s="198">
        <f>GETPIVOTDATA("Сумма по полю Сумма повторно выставленного счета в отчетном периоде",'[1]СВОД с расшиф'!$A$5,"Округ","ДФО","Наименование территории","КАМЧАТСКИЙ КРАЙ")</f>
        <v>0</v>
      </c>
      <c r="I8" s="198">
        <f>GETPIVOTDATA("Сумма по полю Сумма выставленного за предыдущие периоды",'[1]СВОД с расшиф'!$A$5,"Округ","ДФО","Наименование территории","КАМЧАТСКИЙ КРАЙ")</f>
        <v>0</v>
      </c>
      <c r="J8" s="152">
        <f t="shared" si="8"/>
        <v>8996.94</v>
      </c>
      <c r="K8" s="198">
        <f>GETPIVOTDATA("Сумма по полю Оплаченная сумма по задолженности на начало года",'[1]СВОД с расшиф'!$A$5,"Округ","ДФО","Наименование территории","КАМЧАТСКИЙ КРАЙ")</f>
        <v>0</v>
      </c>
      <c r="L8" s="199">
        <f>GETPIVOTDATA("Сумма по полю Оплаченная сумма по  выставленным счетам в отчетном периоде",'[1]СВОД с расшиф'!$A$5,"Округ","ДФО","Наименование территории","КАМЧАТСКИЙ КРАЙ")</f>
        <v>8996.94</v>
      </c>
      <c r="M8" s="199">
        <f>GETPIVOTDATA("Сумма по полю Оплаченная сумма за предыдущие  периоды",'[1]СВОД с расшиф'!$A$5,"Округ","ДФО","Наименование территории","КАМЧАТСКИЙ КРАЙ")</f>
        <v>0</v>
      </c>
      <c r="N8" s="200">
        <f t="shared" si="1"/>
        <v>0</v>
      </c>
      <c r="O8" s="152">
        <f t="shared" si="10"/>
        <v>0</v>
      </c>
      <c r="P8" s="198">
        <f>GETPIVOTDATA("Сумма по полю Сумма отклонения по  счетам задолженности на начало года",'[1]СВОД с расшиф'!$A$5,"Округ","ДФО","Наименование территории","КАМЧАТСКИЙ КРАЙ")</f>
        <v>0</v>
      </c>
      <c r="Q8" s="198">
        <f>GETPIVOTDATA("Сумма по полю Сумма отклонения по дешкам задолженности на начало года",'[1]СВОД с расшиф'!$A$5,"Округ","ДФО","Наименование территории","КАМЧАТСКИЙ КРАЙ")</f>
        <v>0</v>
      </c>
      <c r="R8" s="198">
        <f>GETPIVOTDATA("Сумма по полю Повтороное отклонение по дешкам задолженности на начало года",'[1]СВОД с расшиф'!$A$5,"Округ","ДФО","Наименование территории","КАМЧАТСКИЙ КРАЙ")</f>
        <v>0</v>
      </c>
      <c r="S8" s="199">
        <f>GETPIVOTDATA("Сумма по полю Сумма отклонения по  выставленным счетам в отчетном периоде",'[1]СВОД с расшиф'!$A$5,"Округ","ДФО","Наименование территории","КАМЧАТСКИЙ КРАЙ")</f>
        <v>0</v>
      </c>
      <c r="T8" s="198">
        <f>GETPIVOTDATA("Сумма по полю Сумма отклонения по  выставленным счетам в отчетном периоде по дешкам",'[1]СВОД с расшиф'!$A$5,"Округ","ДФО","Наименование территории","КАМЧАТСКИЙ КРАЙ")</f>
        <v>0</v>
      </c>
      <c r="U8" s="198">
        <f>GETPIVOTDATA("Сумма по полю Повторное отклонение по дешкам отчетного периода",'[1]СВОД с расшиф'!$A$5,"Округ","ДФО","Наименование территории","КАМЧАТСКИЙ КРАЙ")</f>
        <v>0</v>
      </c>
      <c r="V8" s="198">
        <f>GETPIVOTDATA("Сумма по полю Сумма отклонения по  выставленным счетам за предыдущие периоды",'[1]СВОД с расшиф'!$A$5,"Округ","ДФО","Наименование территории","КАМЧАТСКИЙ КРАЙ")</f>
        <v>0</v>
      </c>
      <c r="W8" s="152">
        <f>GETPIVOTDATA("Сумма по полю Задолженность по счету",'[1]СВОД с расшиф'!$A$5,"Округ","ДФО","Наименование территории","КАМЧАТСКИЙ КРАЙ")</f>
        <v>0</v>
      </c>
      <c r="X8" s="205">
        <f t="shared" si="2"/>
        <v>0</v>
      </c>
      <c r="Y8" s="205">
        <f t="shared" si="3"/>
        <v>0</v>
      </c>
      <c r="Z8" s="152">
        <f t="shared" si="4"/>
        <v>0</v>
      </c>
      <c r="AA8" s="205">
        <v>8.7538865045644343E-12</v>
      </c>
      <c r="AB8" s="205">
        <f t="shared" si="5"/>
        <v>-8.7538865045644343E-12</v>
      </c>
      <c r="AC8" s="205">
        <f t="shared" si="6"/>
        <v>0</v>
      </c>
      <c r="AD8" s="152">
        <f t="shared" si="7"/>
        <v>0</v>
      </c>
    </row>
    <row r="9" spans="1:30">
      <c r="A9" s="131"/>
      <c r="B9" s="151" t="s">
        <v>85</v>
      </c>
      <c r="C9" s="198">
        <v>0</v>
      </c>
      <c r="D9" s="198">
        <f>GETPIVOTDATA("Сумма по полю Сумма задолженности на начало года",'[1]СВОД с расшиф'!$A$5,"Округ","ДФО","Наименование территории","МАГАДАНСКАЯ ОБЛАСТЬ")</f>
        <v>0</v>
      </c>
      <c r="E9" s="152">
        <f t="shared" si="9"/>
        <v>10865.07</v>
      </c>
      <c r="F9" s="198">
        <f>GETPIVOTDATA("Сумма по полю Сумма задолженности на начало года повторно выставленные",'[1]СВОД с расшиф'!$A$5,"Округ","ДФО","Наименование территории","МАГАДАНСКАЯ ОБЛАСТЬ")</f>
        <v>0</v>
      </c>
      <c r="G9" s="199">
        <f>GETPIVOTDATA("Сумма по полю Сумма выставленного счета в отчетном периоде",'[1]СВОД с расшиф'!$A$5,"Округ","ДФО","Наименование территории","МАГАДАНСКАЯ ОБЛАСТЬ")</f>
        <v>10865.07</v>
      </c>
      <c r="H9" s="198">
        <f>GETPIVOTDATA("Сумма по полю Сумма повторно выставленного счета в отчетном периоде",'[1]СВОД с расшиф'!$A$5,"Округ","ДФО","Наименование территории","МАГАДАНСКАЯ ОБЛАСТЬ")</f>
        <v>0</v>
      </c>
      <c r="I9" s="198">
        <f>GETPIVOTDATA("Сумма по полю Сумма выставленного за предыдущие периоды",'[1]СВОД с расшиф'!$A$5,"Округ","ДФО","Наименование территории","МАГАДАНСКАЯ ОБЛАСТЬ")</f>
        <v>0</v>
      </c>
      <c r="J9" s="152">
        <f t="shared" si="8"/>
        <v>10865.07</v>
      </c>
      <c r="K9" s="198">
        <f>GETPIVOTDATA("Сумма по полю Оплаченная сумма по задолженности на начало года",'[1]СВОД с расшиф'!$A$5,"Округ","ДФО","Наименование территории","МАГАДАНСКАЯ ОБЛАСТЬ")</f>
        <v>0</v>
      </c>
      <c r="L9" s="199">
        <f>GETPIVOTDATA("Сумма по полю Оплаченная сумма по  выставленным счетам в отчетном периоде",'[1]СВОД с расшиф'!$A$5,"Округ","ДФО","Наименование территории","МАГАДАНСКАЯ ОБЛАСТЬ")</f>
        <v>10865.07</v>
      </c>
      <c r="M9" s="199">
        <f>GETPIVOTDATA("Сумма по полю Оплаченная сумма за предыдущие  периоды",'[1]СВОД с расшиф'!$A$5,"Округ","ДФО","Наименование территории","МАГАДАНСКАЯ ОБЛАСТЬ")</f>
        <v>0</v>
      </c>
      <c r="N9" s="200">
        <f t="shared" si="1"/>
        <v>0</v>
      </c>
      <c r="O9" s="152">
        <f t="shared" si="10"/>
        <v>0</v>
      </c>
      <c r="P9" s="198">
        <f>GETPIVOTDATA("Сумма по полю Сумма отклонения по  счетам задолженности на начало года",'[1]СВОД с расшиф'!$A$5,"Округ","ДФО","Наименование территории","МАГАДАНСКАЯ ОБЛАСТЬ")</f>
        <v>0</v>
      </c>
      <c r="Q9" s="198">
        <f>GETPIVOTDATA("Сумма по полю Сумма отклонения по дешкам задолженности на начало года",'[1]СВОД с расшиф'!$A$5,"Округ","ДФО","Наименование территории","МАГАДАНСКАЯ ОБЛАСТЬ")</f>
        <v>0</v>
      </c>
      <c r="R9" s="198">
        <f>GETPIVOTDATA("Сумма по полю Повтороное отклонение по дешкам задолженности на начало года",'[1]СВОД с расшиф'!$A$5,"Округ","ДФО","Наименование территории","МАГАДАНСКАЯ ОБЛАСТЬ")</f>
        <v>0</v>
      </c>
      <c r="S9" s="199">
        <f>GETPIVOTDATA("Сумма по полю Сумма отклонения по  выставленным счетам в отчетном периоде",'[1]СВОД с расшиф'!$A$5,"Округ","ДФО","Наименование территории","МАГАДАНСКАЯ ОБЛАСТЬ")</f>
        <v>0</v>
      </c>
      <c r="T9" s="198">
        <f>GETPIVOTDATA("Сумма по полю Сумма отклонения по  выставленным счетам в отчетном периоде по дешкам",'[1]СВОД с расшиф'!$A$5,"Округ","ДФО","Наименование территории","МАГАДАНСКАЯ ОБЛАСТЬ")</f>
        <v>0</v>
      </c>
      <c r="U9" s="198">
        <f>GETPIVOTDATA("Сумма по полю Повторное отклонение по дешкам отчетного периода",'[1]СВОД с расшиф'!$A$5,"Округ","ДФО","Наименование территории","МАГАДАНСКАЯ ОБЛАСТЬ")</f>
        <v>0</v>
      </c>
      <c r="V9" s="198">
        <f>GETPIVOTDATA("Сумма по полю Сумма отклонения по  выставленным счетам за предыдущие периоды",'[1]СВОД с расшиф'!$A$5,"Округ","ДФО","Наименование территории","МАГАДАНСКАЯ ОБЛАСТЬ")</f>
        <v>0</v>
      </c>
      <c r="W9" s="152">
        <f>GETPIVOTDATA("Сумма по полю Задолженность по счету",'[1]СВОД с расшиф'!$A$5,"Округ","ДФО","Наименование территории","МАГАДАНСКАЯ ОБЛАСТЬ")</f>
        <v>0</v>
      </c>
      <c r="X9" s="205">
        <f t="shared" si="2"/>
        <v>0</v>
      </c>
      <c r="Y9" s="205">
        <f t="shared" si="3"/>
        <v>0</v>
      </c>
      <c r="Z9" s="152">
        <f t="shared" si="4"/>
        <v>0</v>
      </c>
      <c r="AA9" s="205">
        <v>13654.059999999998</v>
      </c>
      <c r="AB9" s="205">
        <f t="shared" si="5"/>
        <v>-13654.059999999998</v>
      </c>
      <c r="AC9" s="205">
        <f t="shared" si="6"/>
        <v>0</v>
      </c>
      <c r="AD9" s="152">
        <f t="shared" si="7"/>
        <v>0</v>
      </c>
    </row>
    <row r="10" spans="1:30">
      <c r="A10" s="131"/>
      <c r="B10" s="151" t="s">
        <v>86</v>
      </c>
      <c r="C10" s="198">
        <v>0</v>
      </c>
      <c r="D10" s="198">
        <f>GETPIVOTDATA("Сумма по полю Сумма задолженности на начало года",'[1]СВОД с расшиф'!$A$5,"Округ","ДФО","Наименование территории","ПРИМОРСКИЙ КРАЙ")</f>
        <v>0</v>
      </c>
      <c r="E10" s="152">
        <f t="shared" si="9"/>
        <v>7564.0599999999995</v>
      </c>
      <c r="F10" s="198">
        <f>GETPIVOTDATA("Сумма по полю Сумма задолженности на начало года повторно выставленные",'[1]СВОД с расшиф'!$A$5,"Округ","ДФО","Наименование территории","ПРИМОРСКИЙ КРАЙ")</f>
        <v>0</v>
      </c>
      <c r="G10" s="199">
        <f>GETPIVOTDATA("Сумма по полю Сумма выставленного счета в отчетном периоде",'[1]СВОД с расшиф'!$A$5,"Округ","ДФО","Наименование территории","ПРИМОРСКИЙ КРАЙ")</f>
        <v>7564.0599999999995</v>
      </c>
      <c r="H10" s="198">
        <f>GETPIVOTDATA("Сумма по полю Сумма повторно выставленного счета в отчетном периоде",'[1]СВОД с расшиф'!$A$5,"Округ","ДФО","Наименование территории","ПРИМОРСКИЙ КРАЙ")</f>
        <v>0</v>
      </c>
      <c r="I10" s="198">
        <f>GETPIVOTDATA("Сумма по полю Сумма выставленного за предыдущие периоды",'[1]СВОД с расшиф'!$A$5,"Округ","ДФО","Наименование территории","ПРИМОРСКИЙ КРАЙ")</f>
        <v>0</v>
      </c>
      <c r="J10" s="152">
        <f t="shared" si="8"/>
        <v>7564.0599999999995</v>
      </c>
      <c r="K10" s="198">
        <f>GETPIVOTDATA("Сумма по полю Оплаченная сумма по задолженности на начало года",'[1]СВОД с расшиф'!$A$5,"Округ","ДФО","Наименование территории","ПРИМОРСКИЙ КРАЙ")</f>
        <v>0</v>
      </c>
      <c r="L10" s="199">
        <f>GETPIVOTDATA("Сумма по полю Оплаченная сумма по  выставленным счетам в отчетном периоде",'[1]СВОД с расшиф'!$A$5,"Округ","ДФО","Наименование территории","ПРИМОРСКИЙ КРАЙ")</f>
        <v>7564.0599999999995</v>
      </c>
      <c r="M10" s="199">
        <f>GETPIVOTDATA("Сумма по полю Оплаченная сумма за предыдущие  периоды",'[1]СВОД с расшиф'!$A$5,"Округ","ДФО","Наименование территории","ПРИМОРСКИЙ КРАЙ")</f>
        <v>0</v>
      </c>
      <c r="N10" s="200">
        <f t="shared" si="1"/>
        <v>0</v>
      </c>
      <c r="O10" s="152">
        <f t="shared" si="10"/>
        <v>0</v>
      </c>
      <c r="P10" s="198">
        <f>GETPIVOTDATA("Сумма по полю Сумма отклонения по  счетам задолженности на начало года",'[1]СВОД с расшиф'!$A$5,"Округ","ДФО","Наименование территории","ПРИМОРСКИЙ КРАЙ")</f>
        <v>0</v>
      </c>
      <c r="Q10" s="198">
        <f>GETPIVOTDATA("Сумма по полю Сумма отклонения по дешкам задолженности на начало года",'[1]СВОД с расшиф'!$A$5,"Округ","ДФО","Наименование территории","ПРИМОРСКИЙ КРАЙ")</f>
        <v>0</v>
      </c>
      <c r="R10" s="198">
        <f>GETPIVOTDATA("Сумма по полю Повтороное отклонение по дешкам задолженности на начало года",'[1]СВОД с расшиф'!$A$5,"Округ","ДФО","Наименование территории","ПРИМОРСКИЙ КРАЙ")</f>
        <v>0</v>
      </c>
      <c r="S10" s="199">
        <f>GETPIVOTDATA("Сумма по полю Сумма отклонения по  выставленным счетам в отчетном периоде",'[1]СВОД с расшиф'!$A$5,"Округ","ДФО","Наименование территории","ПРИМОРСКИЙ КРАЙ")</f>
        <v>0</v>
      </c>
      <c r="T10" s="198">
        <f>GETPIVOTDATA("Сумма по полю Сумма отклонения по  выставленным счетам в отчетном периоде по дешкам",'[1]СВОД с расшиф'!$A$5,"Округ","ДФО","Наименование территории","ПРИМОРСКИЙ КРАЙ")</f>
        <v>0</v>
      </c>
      <c r="U10" s="198">
        <f>GETPIVOTDATA("Сумма по полю Повторное отклонение по дешкам отчетного периода",'[1]СВОД с расшиф'!$A$5,"Округ","ДФО","Наименование территории","ПРИМОРСКИЙ КРАЙ")</f>
        <v>0</v>
      </c>
      <c r="V10" s="198">
        <f>GETPIVOTDATA("Сумма по полю Сумма отклонения по  выставленным счетам за предыдущие периоды",'[1]СВОД с расшиф'!$A$5,"Округ","ДФО","Наименование территории","ПРИМОРСКИЙ КРАЙ")</f>
        <v>0</v>
      </c>
      <c r="W10" s="152">
        <f>GETPIVOTDATA("Сумма по полю Задолженность по счету",'[1]СВОД с расшиф'!$A$5,"Округ","ДФО","Наименование территории","ПРИМОРСКИЙ КРАЙ")</f>
        <v>0</v>
      </c>
      <c r="X10" s="205">
        <f t="shared" si="2"/>
        <v>0</v>
      </c>
      <c r="Y10" s="205">
        <f t="shared" si="3"/>
        <v>0</v>
      </c>
      <c r="Z10" s="152">
        <f t="shared" si="4"/>
        <v>0</v>
      </c>
      <c r="AA10" s="205">
        <v>4314.7199999999993</v>
      </c>
      <c r="AB10" s="205">
        <f t="shared" si="5"/>
        <v>-4314.7199999999993</v>
      </c>
      <c r="AC10" s="205">
        <f t="shared" si="6"/>
        <v>0</v>
      </c>
      <c r="AD10" s="152">
        <f t="shared" si="7"/>
        <v>0</v>
      </c>
    </row>
    <row r="11" spans="1:30">
      <c r="A11" s="131"/>
      <c r="B11" s="151" t="s">
        <v>77</v>
      </c>
      <c r="C11" s="198">
        <v>4825.72</v>
      </c>
      <c r="D11" s="198">
        <f>GETPIVOTDATA("Сумма по полю Сумма задолженности на начало года",'[1]СВОД с расшиф'!$A$5,"Округ","ДФО","Наименование территории","РЕСПУБЛИКА БУРЯТИЯ")</f>
        <v>4825.72</v>
      </c>
      <c r="E11" s="152">
        <f t="shared" si="9"/>
        <v>6625.09</v>
      </c>
      <c r="F11" s="198">
        <f>GETPIVOTDATA("Сумма по полю Сумма задолженности на начало года повторно выставленные",'[1]СВОД с расшиф'!$A$5,"Округ","ДФО","Наименование территории","РЕСПУБЛИКА БУРЯТИЯ")</f>
        <v>0</v>
      </c>
      <c r="G11" s="199">
        <f>GETPIVOTDATA("Сумма по полю Сумма выставленного счета в отчетном периоде",'[1]СВОД с расшиф'!$A$5,"Округ","ДФО","Наименование территории","РЕСПУБЛИКА БУРЯТИЯ")</f>
        <v>6625.09</v>
      </c>
      <c r="H11" s="198">
        <f>GETPIVOTDATA("Сумма по полю Сумма повторно выставленного счета в отчетном периоде",'[1]СВОД с расшиф'!$A$5,"Округ","ДФО","Наименование территории","РЕСПУБЛИКА БУРЯТИЯ")</f>
        <v>0</v>
      </c>
      <c r="I11" s="198">
        <f>GETPIVOTDATA("Сумма по полю Сумма выставленного за предыдущие периоды",'[1]СВОД с расшиф'!$A$5,"Округ","ДФО","Наименование территории","РЕСПУБЛИКА БУРЯТИЯ")</f>
        <v>0</v>
      </c>
      <c r="J11" s="152">
        <f t="shared" si="8"/>
        <v>5655.39</v>
      </c>
      <c r="K11" s="198">
        <f>GETPIVOTDATA("Сумма по полю Оплаченная сумма по задолженности на начало года",'[1]СВОД с расшиф'!$A$5,"Округ","ДФО","Наименование территории","РЕСПУБЛИКА БУРЯТИЯ")</f>
        <v>4825.72</v>
      </c>
      <c r="L11" s="199">
        <f>GETPIVOTDATA("Сумма по полю Оплаченная сумма по  выставленным счетам в отчетном периоде",'[1]СВОД с расшиф'!$A$5,"Округ","ДФО","Наименование территории","РЕСПУБЛИКА БУРЯТИЯ")</f>
        <v>829.67</v>
      </c>
      <c r="M11" s="199">
        <f>GETPIVOTDATA("Сумма по полю Оплаченная сумма за предыдущие  периоды",'[1]СВОД с расшиф'!$A$5,"Округ","ДФО","Наименование территории","РЕСПУБЛИКА БУРЯТИЯ")</f>
        <v>0</v>
      </c>
      <c r="N11" s="200">
        <f t="shared" si="1"/>
        <v>0</v>
      </c>
      <c r="O11" s="152">
        <f t="shared" si="10"/>
        <v>0</v>
      </c>
      <c r="P11" s="198">
        <f>GETPIVOTDATA("Сумма по полю Сумма отклонения по  счетам задолженности на начало года",'[1]СВОД с расшиф'!$A$5,"Округ","ДФО","Наименование территории","РЕСПУБЛИКА БУРЯТИЯ")</f>
        <v>0</v>
      </c>
      <c r="Q11" s="198">
        <f>GETPIVOTDATA("Сумма по полю Сумма отклонения по дешкам задолженности на начало года",'[1]СВОД с расшиф'!$A$5,"Округ","ДФО","Наименование территории","РЕСПУБЛИКА БУРЯТИЯ")</f>
        <v>0</v>
      </c>
      <c r="R11" s="198">
        <f>GETPIVOTDATA("Сумма по полю Повтороное отклонение по дешкам задолженности на начало года",'[1]СВОД с расшиф'!$A$5,"Округ","ДФО","Наименование территории","РЕСПУБЛИКА БУРЯТИЯ")</f>
        <v>0</v>
      </c>
      <c r="S11" s="199">
        <f>GETPIVOTDATA("Сумма по полю Сумма отклонения по  выставленным счетам в отчетном периоде",'[1]СВОД с расшиф'!$A$5,"Округ","ДФО","Наименование территории","РЕСПУБЛИКА БУРЯТИЯ")</f>
        <v>0</v>
      </c>
      <c r="T11" s="198">
        <f>GETPIVOTDATA("Сумма по полю Сумма отклонения по  выставленным счетам в отчетном периоде по дешкам",'[1]СВОД с расшиф'!$A$5,"Округ","ДФО","Наименование территории","РЕСПУБЛИКА БУРЯТИЯ")</f>
        <v>0</v>
      </c>
      <c r="U11" s="198">
        <f>GETPIVOTDATA("Сумма по полю Повторное отклонение по дешкам отчетного периода",'[1]СВОД с расшиф'!$A$5,"Округ","ДФО","Наименование территории","РЕСПУБЛИКА БУРЯТИЯ")</f>
        <v>0</v>
      </c>
      <c r="V11" s="198">
        <f>GETPIVOTDATA("Сумма по полю Сумма отклонения по  выставленным счетам за предыдущие периоды",'[1]СВОД с расшиф'!$A$5,"Округ","ДФО","Наименование территории","РЕСПУБЛИКА БУРЯТИЯ")</f>
        <v>0</v>
      </c>
      <c r="W11" s="152">
        <f>GETPIVOTDATA("Сумма по полю Задолженность по счету",'[1]СВОД с расшиф'!$A$5,"Округ","ДФО","Наименование территории","РЕСПУБЛИКА БУРЯТИЯ")</f>
        <v>5795.42</v>
      </c>
      <c r="X11" s="205">
        <f t="shared" si="2"/>
        <v>5795.420000000001</v>
      </c>
      <c r="Y11" s="205">
        <f t="shared" si="3"/>
        <v>0</v>
      </c>
      <c r="Z11" s="152">
        <f t="shared" si="4"/>
        <v>5795.420000000001</v>
      </c>
      <c r="AA11" s="205">
        <v>0</v>
      </c>
      <c r="AB11" s="205">
        <f t="shared" si="5"/>
        <v>5795.420000000001</v>
      </c>
      <c r="AC11" s="205">
        <f t="shared" si="6"/>
        <v>5795.420000000001</v>
      </c>
      <c r="AD11" s="152">
        <f t="shared" si="7"/>
        <v>0</v>
      </c>
    </row>
    <row r="12" spans="1:30">
      <c r="A12" s="131"/>
      <c r="B12" s="151" t="s">
        <v>87</v>
      </c>
      <c r="C12" s="198">
        <v>12075.76</v>
      </c>
      <c r="D12" s="198">
        <f>GETPIVOTDATA("Сумма по полю Сумма задолженности на начало года",'[1]СВОД с расшиф'!$A$5,"Округ","ДФО","Наименование территории","РЕСПУБЛИКА САХА(ЯКУТИЯ)")</f>
        <v>12075.76</v>
      </c>
      <c r="E12" s="152">
        <f t="shared" si="9"/>
        <v>182210.94</v>
      </c>
      <c r="F12" s="198">
        <f>GETPIVOTDATA("Сумма по полю Сумма задолженности на начало года повторно выставленные",'[1]СВОД с расшиф'!$A$5,"Округ","ДФО","Наименование территории","РЕСПУБЛИКА САХА(ЯКУТИЯ)")</f>
        <v>0</v>
      </c>
      <c r="G12" s="199">
        <f>GETPIVOTDATA("Сумма по полю Сумма выставленного счета в отчетном периоде",'[1]СВОД с расшиф'!$A$5,"Округ","ДФО","Наименование территории","РЕСПУБЛИКА САХА(ЯКУТИЯ)")</f>
        <v>182210.94</v>
      </c>
      <c r="H12" s="198">
        <f>GETPIVOTDATA("Сумма по полю Сумма повторно выставленного счета в отчетном периоде",'[1]СВОД с расшиф'!$A$5,"Округ","ДФО","Наименование территории","РЕСПУБЛИКА САХА(ЯКУТИЯ)")</f>
        <v>0</v>
      </c>
      <c r="I12" s="198">
        <f>GETPIVOTDATA("Сумма по полю Сумма выставленного за предыдущие периоды",'[1]СВОД с расшиф'!$A$5,"Округ","ДФО","Наименование территории","РЕСПУБЛИКА САХА(ЯКУТИЯ)")</f>
        <v>0</v>
      </c>
      <c r="J12" s="152">
        <f t="shared" si="8"/>
        <v>114540.48999999999</v>
      </c>
      <c r="K12" s="198">
        <f>GETPIVOTDATA("Сумма по полю Оплаченная сумма по задолженности на начало года",'[1]СВОД с расшиф'!$A$5,"Округ","ДФО","Наименование территории","РЕСПУБЛИКА САХА(ЯКУТИЯ)")</f>
        <v>12075.76</v>
      </c>
      <c r="L12" s="199">
        <f>GETPIVOTDATA("Сумма по полю Оплаченная сумма по  выставленным счетам в отчетном периоде",'[1]СВОД с расшиф'!$A$5,"Округ","ДФО","Наименование территории","РЕСПУБЛИКА САХА(ЯКУТИЯ)")</f>
        <v>102464.73</v>
      </c>
      <c r="M12" s="199">
        <f>GETPIVOTDATA("Сумма по полю Оплаченная сумма за предыдущие  периоды",'[1]СВОД с расшиф'!$A$5,"Округ","ДФО","Наименование территории","РЕСПУБЛИКА САХА(ЯКУТИЯ)")</f>
        <v>0</v>
      </c>
      <c r="N12" s="200">
        <f t="shared" si="1"/>
        <v>0</v>
      </c>
      <c r="O12" s="152">
        <f t="shared" si="10"/>
        <v>0</v>
      </c>
      <c r="P12" s="198">
        <f>GETPIVOTDATA("Сумма по полю Сумма отклонения по  счетам задолженности на начало года",'[1]СВОД с расшиф'!$A$5,"Округ","ДФО","Наименование территории","РЕСПУБЛИКА САХА(ЯКУТИЯ)")</f>
        <v>0</v>
      </c>
      <c r="Q12" s="198">
        <f>GETPIVOTDATA("Сумма по полю Сумма отклонения по дешкам задолженности на начало года",'[1]СВОД с расшиф'!$A$5,"Округ","ДФО","Наименование территории","РЕСПУБЛИКА САХА(ЯКУТИЯ)")</f>
        <v>0</v>
      </c>
      <c r="R12" s="198">
        <f>GETPIVOTDATA("Сумма по полю Повтороное отклонение по дешкам задолженности на начало года",'[1]СВОД с расшиф'!$A$5,"Округ","ДФО","Наименование территории","РЕСПУБЛИКА САХА(ЯКУТИЯ)")</f>
        <v>0</v>
      </c>
      <c r="S12" s="199">
        <f>GETPIVOTDATA("Сумма по полю Сумма отклонения по  выставленным счетам в отчетном периоде",'[1]СВОД с расшиф'!$A$5,"Округ","ДФО","Наименование территории","РЕСПУБЛИКА САХА(ЯКУТИЯ)")</f>
        <v>0</v>
      </c>
      <c r="T12" s="198">
        <f>GETPIVOTDATA("Сумма по полю Сумма отклонения по  выставленным счетам в отчетном периоде по дешкам",'[1]СВОД с расшиф'!$A$5,"Округ","ДФО","Наименование территории","РЕСПУБЛИКА САХА(ЯКУТИЯ)")</f>
        <v>0</v>
      </c>
      <c r="U12" s="198">
        <f>GETPIVOTDATA("Сумма по полю Повторное отклонение по дешкам отчетного периода",'[1]СВОД с расшиф'!$A$5,"Округ","ДФО","Наименование территории","РЕСПУБЛИКА САХА(ЯКУТИЯ)")</f>
        <v>0</v>
      </c>
      <c r="V12" s="198">
        <f>GETPIVOTDATA("Сумма по полю Сумма отклонения по  выставленным счетам за предыдущие периоды",'[1]СВОД с расшиф'!$A$5,"Округ","ДФО","Наименование территории","РЕСПУБЛИКА САХА(ЯКУТИЯ)")</f>
        <v>0</v>
      </c>
      <c r="W12" s="152">
        <f>GETPIVOTDATA("Сумма по полю Задолженность по счету",'[1]СВОД с расшиф'!$A$5,"Округ","ДФО","Наименование территории","РЕСПУБЛИКА САХА(ЯКУТИЯ)")</f>
        <v>79746.210000000006</v>
      </c>
      <c r="X12" s="205">
        <f t="shared" si="2"/>
        <v>79746.210000000021</v>
      </c>
      <c r="Y12" s="205">
        <f t="shared" si="3"/>
        <v>0</v>
      </c>
      <c r="Z12" s="152">
        <f t="shared" si="4"/>
        <v>79746.210000000021</v>
      </c>
      <c r="AA12" s="205">
        <v>0</v>
      </c>
      <c r="AB12" s="205">
        <f t="shared" si="5"/>
        <v>79746.210000000021</v>
      </c>
      <c r="AC12" s="205">
        <f t="shared" si="6"/>
        <v>79746.210000000006</v>
      </c>
      <c r="AD12" s="152">
        <f t="shared" si="7"/>
        <v>0</v>
      </c>
    </row>
    <row r="13" spans="1:30">
      <c r="A13" s="131"/>
      <c r="B13" s="151" t="s">
        <v>88</v>
      </c>
      <c r="C13" s="198">
        <v>0</v>
      </c>
      <c r="D13" s="198">
        <f>GETPIVOTDATA("Сумма по полю Сумма задолженности на начало года",'[1]СВОД с расшиф'!$A$5,"Округ","ДФО","Наименование территории","САХАЛИНСКАЯ ОБЛАСТЬ")</f>
        <v>0</v>
      </c>
      <c r="E13" s="152">
        <f t="shared" si="9"/>
        <v>4220</v>
      </c>
      <c r="F13" s="198">
        <f>GETPIVOTDATA("Сумма по полю Сумма задолженности на начало года повторно выставленные",'[1]СВОД с расшиф'!$A$5,"Округ","ДФО","Наименование территории","САХАЛИНСКАЯ ОБЛАСТЬ")</f>
        <v>0</v>
      </c>
      <c r="G13" s="199">
        <f>GETPIVOTDATA("Сумма по полю Сумма выставленного счета в отчетном периоде",'[1]СВОД с расшиф'!$A$5,"Округ","ДФО","Наименование территории","САХАЛИНСКАЯ ОБЛАСТЬ")</f>
        <v>4220</v>
      </c>
      <c r="H13" s="198">
        <f>GETPIVOTDATA("Сумма по полю Сумма повторно выставленного счета в отчетном периоде",'[1]СВОД с расшиф'!$A$5,"Округ","ДФО","Наименование территории","САХАЛИНСКАЯ ОБЛАСТЬ")</f>
        <v>0</v>
      </c>
      <c r="I13" s="198">
        <f>GETPIVOTDATA("Сумма по полю Сумма выставленного за предыдущие периоды",'[1]СВОД с расшиф'!$A$5,"Округ","ДФО","Наименование территории","САХАЛИНСКАЯ ОБЛАСТЬ")</f>
        <v>0</v>
      </c>
      <c r="J13" s="152">
        <f t="shared" si="8"/>
        <v>4220</v>
      </c>
      <c r="K13" s="198">
        <f>GETPIVOTDATA("Сумма по полю Оплаченная сумма по задолженности на начало года",'[1]СВОД с расшиф'!$A$5,"Округ","ДФО","Наименование территории","САХАЛИНСКАЯ ОБЛАСТЬ")</f>
        <v>0</v>
      </c>
      <c r="L13" s="199">
        <f>GETPIVOTDATA("Сумма по полю Оплаченная сумма по  выставленным счетам в отчетном периоде",'[1]СВОД с расшиф'!$A$5,"Округ","ДФО","Наименование территории","САХАЛИНСКАЯ ОБЛАСТЬ")</f>
        <v>4220</v>
      </c>
      <c r="M13" s="199">
        <f>GETPIVOTDATA("Сумма по полю Оплаченная сумма за предыдущие  периоды",'[1]СВОД с расшиф'!$A$5,"Округ","ДФО","Наименование территории","САХАЛИНСКАЯ ОБЛАСТЬ")</f>
        <v>0</v>
      </c>
      <c r="N13" s="200">
        <f t="shared" si="1"/>
        <v>0</v>
      </c>
      <c r="O13" s="152">
        <f t="shared" si="10"/>
        <v>0</v>
      </c>
      <c r="P13" s="198">
        <f>GETPIVOTDATA("Сумма по полю Сумма отклонения по  счетам задолженности на начало года",'[1]СВОД с расшиф'!$A$5,"Округ","ДФО","Наименование территории","САХАЛИНСКАЯ ОБЛАСТЬ")</f>
        <v>0</v>
      </c>
      <c r="Q13" s="198">
        <f>GETPIVOTDATA("Сумма по полю Сумма отклонения по дешкам задолженности на начало года",'[1]СВОД с расшиф'!$A$5,"Округ","ДФО","Наименование территории","САХАЛИНСКАЯ ОБЛАСТЬ")</f>
        <v>0</v>
      </c>
      <c r="R13" s="198">
        <f>GETPIVOTDATA("Сумма по полю Повтороное отклонение по дешкам задолженности на начало года",'[1]СВОД с расшиф'!$A$5,"Округ","ДФО","Наименование территории","САХАЛИНСКАЯ ОБЛАСТЬ")</f>
        <v>0</v>
      </c>
      <c r="S13" s="199">
        <f>GETPIVOTDATA("Сумма по полю Сумма отклонения по  выставленным счетам в отчетном периоде",'[1]СВОД с расшиф'!$A$5,"Округ","ДФО","Наименование территории","САХАЛИНСКАЯ ОБЛАСТЬ")</f>
        <v>0</v>
      </c>
      <c r="T13" s="198">
        <f>GETPIVOTDATA("Сумма по полю Сумма отклонения по  выставленным счетам в отчетном периоде по дешкам",'[1]СВОД с расшиф'!$A$5,"Округ","ДФО","Наименование территории","САХАЛИНСКАЯ ОБЛАСТЬ")</f>
        <v>0</v>
      </c>
      <c r="U13" s="198">
        <f>GETPIVOTDATA("Сумма по полю Повторное отклонение по дешкам отчетного периода",'[1]СВОД с расшиф'!$A$5,"Округ","ДФО","Наименование территории","САХАЛИНСКАЯ ОБЛАСТЬ")</f>
        <v>0</v>
      </c>
      <c r="V13" s="198">
        <f>GETPIVOTDATA("Сумма по полю Сумма отклонения по  выставленным счетам за предыдущие периоды",'[1]СВОД с расшиф'!$A$5,"Округ","ДФО","Наименование территории","САХАЛИНСКАЯ ОБЛАСТЬ")</f>
        <v>0</v>
      </c>
      <c r="W13" s="152">
        <f>GETPIVOTDATA("Сумма по полю Задолженность по счету",'[1]СВОД с расшиф'!$A$5,"Округ","ДФО","Наименование территории","САХАЛИНСКАЯ ОБЛАСТЬ")</f>
        <v>0</v>
      </c>
      <c r="X13" s="205">
        <f t="shared" si="2"/>
        <v>0</v>
      </c>
      <c r="Y13" s="205">
        <f t="shared" si="3"/>
        <v>0</v>
      </c>
      <c r="Z13" s="152">
        <f t="shared" si="4"/>
        <v>0</v>
      </c>
      <c r="AA13" s="205">
        <v>6776</v>
      </c>
      <c r="AB13" s="205">
        <f t="shared" si="5"/>
        <v>-6776</v>
      </c>
      <c r="AC13" s="205">
        <f t="shared" si="6"/>
        <v>0</v>
      </c>
      <c r="AD13" s="152">
        <f t="shared" si="7"/>
        <v>0</v>
      </c>
    </row>
    <row r="14" spans="1:30">
      <c r="A14" s="131"/>
      <c r="B14" s="151" t="s">
        <v>89</v>
      </c>
      <c r="C14" s="198">
        <v>2448.35</v>
      </c>
      <c r="D14" s="198">
        <f>GETPIVOTDATA("Сумма по полю Сумма задолженности на начало года",'[1]СВОД с расшиф'!$A$5,"Округ","ДФО","Наименование территории","ХАБАРОВСКИЙ КРАЙ")</f>
        <v>2448.35</v>
      </c>
      <c r="E14" s="152">
        <f t="shared" si="9"/>
        <v>8540.98</v>
      </c>
      <c r="F14" s="198">
        <f>GETPIVOTDATA("Сумма по полю Сумма задолженности на начало года повторно выставленные",'[1]СВОД с расшиф'!$A$5,"Округ","ДФО","Наименование территории","ХАБАРОВСКИЙ КРАЙ")</f>
        <v>0</v>
      </c>
      <c r="G14" s="199">
        <f>GETPIVOTDATA("Сумма по полю Сумма выставленного счета в отчетном периоде",'[1]СВОД с расшиф'!$A$5,"Округ","ДФО","Наименование территории","ХАБАРОВСКИЙ КРАЙ")</f>
        <v>8540.98</v>
      </c>
      <c r="H14" s="198">
        <f>GETPIVOTDATA("Сумма по полю Сумма повторно выставленного счета в отчетном периоде",'[1]СВОД с расшиф'!$A$5,"Округ","ДФО","Наименование территории","ХАБАРОВСКИЙ КРАЙ")</f>
        <v>0</v>
      </c>
      <c r="I14" s="198">
        <f>GETPIVOTDATA("Сумма по полю Сумма выставленного за предыдущие периоды",'[1]СВОД с расшиф'!$A$5,"Округ","ДФО","Наименование территории","ХАБАРОВСКИЙ КРАЙ")</f>
        <v>0</v>
      </c>
      <c r="J14" s="152">
        <f t="shared" si="8"/>
        <v>5024.99</v>
      </c>
      <c r="K14" s="198">
        <f>GETPIVOTDATA("Сумма по полю Оплаченная сумма по задолженности на начало года",'[1]СВОД с расшиф'!$A$5,"Округ","ДФО","Наименование территории","ХАБАРОВСКИЙ КРАЙ")</f>
        <v>2448.35</v>
      </c>
      <c r="L14" s="199">
        <f>GETPIVOTDATA("Сумма по полю Оплаченная сумма по  выставленным счетам в отчетном периоде",'[1]СВОД с расшиф'!$A$5,"Округ","ДФО","Наименование территории","ХАБАРОВСКИЙ КРАЙ")</f>
        <v>2576.64</v>
      </c>
      <c r="M14" s="199">
        <f>GETPIVOTDATA("Сумма по полю Оплаченная сумма за предыдущие  периоды",'[1]СВОД с расшиф'!$A$5,"Округ","ДФО","Наименование территории","ХАБАРОВСКИЙ КРАЙ")</f>
        <v>0</v>
      </c>
      <c r="N14" s="200">
        <f t="shared" si="1"/>
        <v>0</v>
      </c>
      <c r="O14" s="152">
        <f t="shared" si="10"/>
        <v>0</v>
      </c>
      <c r="P14" s="198">
        <f>GETPIVOTDATA("Сумма по полю Сумма отклонения по  счетам задолженности на начало года",'[1]СВОД с расшиф'!$A$5,"Округ","ДФО","Наименование территории","ХАБАРОВСКИЙ КРАЙ")</f>
        <v>0</v>
      </c>
      <c r="Q14" s="198">
        <f>GETPIVOTDATA("Сумма по полю Сумма отклонения по дешкам задолженности на начало года",'[1]СВОД с расшиф'!$A$5,"Округ","ДФО","Наименование территории","ХАБАРОВСКИЙ КРАЙ")</f>
        <v>0</v>
      </c>
      <c r="R14" s="198">
        <f>GETPIVOTDATA("Сумма по полю Повтороное отклонение по дешкам задолженности на начало года",'[1]СВОД с расшиф'!$A$5,"Округ","ДФО","Наименование территории","ХАБАРОВСКИЙ КРАЙ")</f>
        <v>0</v>
      </c>
      <c r="S14" s="199">
        <f>GETPIVOTDATA("Сумма по полю Сумма отклонения по  выставленным счетам в отчетном периоде",'[1]СВОД с расшиф'!$A$5,"Округ","ДФО","Наименование территории","ХАБАРОВСКИЙ КРАЙ")</f>
        <v>0</v>
      </c>
      <c r="T14" s="198">
        <f>GETPIVOTDATA("Сумма по полю Сумма отклонения по  выставленным счетам в отчетном периоде по дешкам",'[1]СВОД с расшиф'!$A$5,"Округ","ДФО","Наименование территории","ХАБАРОВСКИЙ КРАЙ")</f>
        <v>0</v>
      </c>
      <c r="U14" s="198">
        <f>GETPIVOTDATA("Сумма по полю Повторное отклонение по дешкам отчетного периода",'[1]СВОД с расшиф'!$A$5,"Округ","ДФО","Наименование территории","ХАБАРОВСКИЙ КРАЙ")</f>
        <v>0</v>
      </c>
      <c r="V14" s="198">
        <f>GETPIVOTDATA("Сумма по полю Сумма отклонения по  выставленным счетам за предыдущие периоды",'[1]СВОД с расшиф'!$A$5,"Округ","ДФО","Наименование территории","ХАБАРОВСКИЙ КРАЙ")</f>
        <v>0</v>
      </c>
      <c r="W14" s="152">
        <f>GETPIVOTDATA("Сумма по полю Задолженность по счету",'[1]СВОД с расшиф'!$A$5,"Округ","ДФО","Наименование территории","ХАБАРОВСКИЙ КРАЙ")</f>
        <v>5964.34</v>
      </c>
      <c r="X14" s="205">
        <f t="shared" si="2"/>
        <v>5964.34</v>
      </c>
      <c r="Y14" s="205">
        <f t="shared" si="3"/>
        <v>0</v>
      </c>
      <c r="Z14" s="152">
        <f t="shared" si="4"/>
        <v>5964.34</v>
      </c>
      <c r="AA14" s="205">
        <v>52224.69000000001</v>
      </c>
      <c r="AB14" s="205">
        <f t="shared" si="5"/>
        <v>-46260.350000000006</v>
      </c>
      <c r="AC14" s="205">
        <f t="shared" si="6"/>
        <v>5964.34</v>
      </c>
      <c r="AD14" s="152">
        <f t="shared" si="7"/>
        <v>0</v>
      </c>
    </row>
    <row r="15" spans="1:30">
      <c r="A15" s="131"/>
      <c r="B15" s="151" t="s">
        <v>90</v>
      </c>
      <c r="C15" s="198">
        <v>0</v>
      </c>
      <c r="D15" s="198">
        <f>GETPIVOTDATA("Сумма по полю Сумма задолженности на начало года",'[1]СВОД с расшиф'!$A$5,"Округ","ДФО","Наименование территории","ЧУКОТСКИЙ АО")</f>
        <v>0</v>
      </c>
      <c r="E15" s="152">
        <f t="shared" si="9"/>
        <v>117603.23000000001</v>
      </c>
      <c r="F15" s="198">
        <f>GETPIVOTDATA("Сумма по полю Сумма задолженности на начало года повторно выставленные",'[1]СВОД с расшиф'!$A$5,"Округ","ДФО","Наименование территории","ЧУКОТСКИЙ АО")</f>
        <v>0</v>
      </c>
      <c r="G15" s="199">
        <f>GETPIVOTDATA("Сумма по полю Сумма выставленного счета в отчетном периоде",'[1]СВОД с расшиф'!$A$5,"Округ","ДФО","Наименование территории","ЧУКОТСКИЙ АО")</f>
        <v>117603.23000000001</v>
      </c>
      <c r="H15" s="198">
        <f>GETPIVOTDATA("Сумма по полю Сумма повторно выставленного счета в отчетном периоде",'[1]СВОД с расшиф'!$A$5,"Округ","ДФО","Наименование территории","ЧУКОТСКИЙ АО")</f>
        <v>0</v>
      </c>
      <c r="I15" s="198">
        <f>GETPIVOTDATA("Сумма по полю Сумма выставленного за предыдущие периоды",'[1]СВОД с расшиф'!$A$5,"Округ","ДФО","Наименование территории","ЧУКОТСКИЙ АО")</f>
        <v>0</v>
      </c>
      <c r="J15" s="152">
        <f t="shared" si="8"/>
        <v>104090.66</v>
      </c>
      <c r="K15" s="198">
        <f>GETPIVOTDATA("Сумма по полю Оплаченная сумма по задолженности на начало года",'[1]СВОД с расшиф'!$A$5,"Округ","ДФО","Наименование территории","ЧУКОТСКИЙ АО")</f>
        <v>0</v>
      </c>
      <c r="L15" s="199">
        <f>GETPIVOTDATA("Сумма по полю Оплаченная сумма по  выставленным счетам в отчетном периоде",'[1]СВОД с расшиф'!$A$5,"Округ","ДФО","Наименование территории","ЧУКОТСКИЙ АО")</f>
        <v>104090.66</v>
      </c>
      <c r="M15" s="199">
        <f>GETPIVOTDATA("Сумма по полю Оплаченная сумма за предыдущие  периоды",'[1]СВОД с расшиф'!$A$5,"Округ","ДФО","Наименование территории","ЧУКОТСКИЙ АО")</f>
        <v>0</v>
      </c>
      <c r="N15" s="200">
        <f t="shared" si="1"/>
        <v>0</v>
      </c>
      <c r="O15" s="152">
        <f t="shared" si="10"/>
        <v>0</v>
      </c>
      <c r="P15" s="198">
        <f>GETPIVOTDATA("Сумма по полю Сумма отклонения по  счетам задолженности на начало года",'[1]СВОД с расшиф'!$A$5,"Округ","ДФО","Наименование территории","ЧУКОТСКИЙ АО")</f>
        <v>0</v>
      </c>
      <c r="Q15" s="198">
        <f>GETPIVOTDATA("Сумма по полю Сумма отклонения по дешкам задолженности на начало года",'[1]СВОД с расшиф'!$A$5,"Округ","ДФО","Наименование территории","ЧУКОТСКИЙ АО")</f>
        <v>0</v>
      </c>
      <c r="R15" s="198">
        <f>GETPIVOTDATA("Сумма по полю Повтороное отклонение по дешкам задолженности на начало года",'[1]СВОД с расшиф'!$A$5,"Округ","ДФО","Наименование территории","ЧУКОТСКИЙ АО")</f>
        <v>0</v>
      </c>
      <c r="S15" s="199">
        <f>GETPIVOTDATA("Сумма по полю Сумма отклонения по  выставленным счетам в отчетном периоде",'[1]СВОД с расшиф'!$A$5,"Округ","ДФО","Наименование территории","ЧУКОТСКИЙ АО")</f>
        <v>0</v>
      </c>
      <c r="T15" s="198">
        <f>GETPIVOTDATA("Сумма по полю Сумма отклонения по  выставленным счетам в отчетном периоде по дешкам",'[1]СВОД с расшиф'!$A$5,"Округ","ДФО","Наименование территории","ЧУКОТСКИЙ АО")</f>
        <v>0</v>
      </c>
      <c r="U15" s="198">
        <f>GETPIVOTDATA("Сумма по полю Повторное отклонение по дешкам отчетного периода",'[1]СВОД с расшиф'!$A$5,"Округ","ДФО","Наименование территории","ЧУКОТСКИЙ АО")</f>
        <v>0</v>
      </c>
      <c r="V15" s="198">
        <f>GETPIVOTDATA("Сумма по полю Сумма отклонения по  выставленным счетам за предыдущие периоды",'[1]СВОД с расшиф'!$A$5,"Округ","ДФО","Наименование территории","ЧУКОТСКИЙ АО")</f>
        <v>0</v>
      </c>
      <c r="W15" s="152">
        <f>GETPIVOTDATA("Сумма по полю Задолженность по счету",'[1]СВОД с расшиф'!$A$5,"Округ","ДФО","Наименование территории","ЧУКОТСКИЙ АО")</f>
        <v>13512.57</v>
      </c>
      <c r="X15" s="205">
        <f t="shared" si="2"/>
        <v>13512.570000000007</v>
      </c>
      <c r="Y15" s="205">
        <f t="shared" si="3"/>
        <v>0</v>
      </c>
      <c r="Z15" s="152">
        <f t="shared" si="4"/>
        <v>13512.570000000007</v>
      </c>
      <c r="AA15" s="205">
        <v>0</v>
      </c>
      <c r="AB15" s="205">
        <f t="shared" si="5"/>
        <v>13512.570000000007</v>
      </c>
      <c r="AC15" s="205">
        <f t="shared" si="6"/>
        <v>13512.570000000007</v>
      </c>
      <c r="AD15" s="152">
        <f t="shared" si="7"/>
        <v>0</v>
      </c>
    </row>
    <row r="16" spans="1:30">
      <c r="A16" s="153" t="s">
        <v>122</v>
      </c>
      <c r="B16" s="154"/>
      <c r="C16" s="201">
        <f>SUM(C5:C15)</f>
        <v>61163.99</v>
      </c>
      <c r="D16" s="202">
        <f>SUM(D5:D15)</f>
        <v>61163.99</v>
      </c>
      <c r="E16" s="155">
        <f>SUM(E5:E15)</f>
        <v>367524.35000000003</v>
      </c>
      <c r="F16" s="202">
        <f>SUM(F5:F15)</f>
        <v>0</v>
      </c>
      <c r="G16" s="202">
        <f t="shared" ref="G16:W16" si="11">SUM(G5:G15)</f>
        <v>367524.35000000003</v>
      </c>
      <c r="H16" s="202">
        <f t="shared" si="11"/>
        <v>0</v>
      </c>
      <c r="I16" s="202">
        <f t="shared" si="11"/>
        <v>0</v>
      </c>
      <c r="J16" s="155">
        <f t="shared" si="11"/>
        <v>311366.07999999996</v>
      </c>
      <c r="K16" s="202">
        <f t="shared" si="11"/>
        <v>61163.99</v>
      </c>
      <c r="L16" s="202">
        <f t="shared" si="11"/>
        <v>250202.09</v>
      </c>
      <c r="M16" s="202">
        <f t="shared" si="11"/>
        <v>0</v>
      </c>
      <c r="N16" s="203">
        <f t="shared" si="1"/>
        <v>0</v>
      </c>
      <c r="O16" s="185">
        <f>SUM(O5:O15)</f>
        <v>0</v>
      </c>
      <c r="P16" s="202">
        <f t="shared" si="11"/>
        <v>0</v>
      </c>
      <c r="Q16" s="202">
        <f t="shared" si="11"/>
        <v>0</v>
      </c>
      <c r="R16" s="202">
        <f t="shared" si="11"/>
        <v>0</v>
      </c>
      <c r="S16" s="202">
        <f t="shared" si="11"/>
        <v>0</v>
      </c>
      <c r="T16" s="202">
        <f t="shared" si="11"/>
        <v>0</v>
      </c>
      <c r="U16" s="202">
        <f t="shared" si="11"/>
        <v>0</v>
      </c>
      <c r="V16" s="202">
        <f t="shared" si="11"/>
        <v>0</v>
      </c>
      <c r="W16" s="155">
        <f t="shared" si="11"/>
        <v>117322.26000000001</v>
      </c>
      <c r="X16" s="204">
        <f t="shared" si="2"/>
        <v>117322.26000000007</v>
      </c>
      <c r="Y16" s="204">
        <f t="shared" si="3"/>
        <v>0</v>
      </c>
      <c r="Z16" s="155">
        <f t="shared" si="4"/>
        <v>117322.26000000007</v>
      </c>
      <c r="AA16" s="155">
        <v>121767.22000000004</v>
      </c>
      <c r="AB16" s="155">
        <f t="shared" si="5"/>
        <v>-4444.9599999999773</v>
      </c>
      <c r="AC16" s="155">
        <f t="shared" si="6"/>
        <v>117322.26000000004</v>
      </c>
      <c r="AD16" s="155">
        <f t="shared" si="7"/>
        <v>0</v>
      </c>
    </row>
    <row r="17" spans="1:30">
      <c r="A17" s="131" t="s">
        <v>123</v>
      </c>
      <c r="B17" s="151" t="s">
        <v>47</v>
      </c>
      <c r="C17" s="198">
        <v>4120.51</v>
      </c>
      <c r="D17" s="198">
        <f>GETPIVOTDATA("Сумма по полю Сумма задолженности на начало года",'[1]СВОД с расшиф'!$A$5,"Округ","ПФО","Наименование территории","КИРОВСКАЯ ОБЛАСТЬ")</f>
        <v>4120.51</v>
      </c>
      <c r="E17" s="152">
        <f>F17+G17+H17+I17</f>
        <v>77316.83</v>
      </c>
      <c r="F17" s="198">
        <f>GETPIVOTDATA("Сумма по полю Сумма задолженности на начало года повторно выставленные",'[1]СВОД с расшиф'!$A$5,"Округ","ПФО","Наименование территории","КИРОВСКАЯ ОБЛАСТЬ")</f>
        <v>0</v>
      </c>
      <c r="G17" s="199">
        <f>GETPIVOTDATA("Сумма по полю Сумма выставленного счета в отчетном периоде",'[1]СВОД с расшиф'!$A$5,"Округ","ПФО","Наименование территории","КИРОВСКАЯ ОБЛАСТЬ")</f>
        <v>77316.83</v>
      </c>
      <c r="H17" s="198">
        <f>GETPIVOTDATA("Сумма по полю Сумма повторно выставленного счета в отчетном периоде",'[1]СВОД с расшиф'!$A$5,"Округ","ПФО","Наименование территории","КИРОВСКАЯ ОБЛАСТЬ")</f>
        <v>0</v>
      </c>
      <c r="I17" s="198">
        <f>GETPIVOTDATA("Сумма по полю Сумма выставленного за предыдущие периоды",'[1]СВОД с расшиф'!$A$5,"Округ","ПФО","Наименование территории","КИРОВСКАЯ ОБЛАСТЬ")</f>
        <v>0</v>
      </c>
      <c r="J17" s="152">
        <f t="shared" si="8"/>
        <v>33863.550000000003</v>
      </c>
      <c r="K17" s="198">
        <f>GETPIVOTDATA("Сумма по полю Оплаченная сумма по задолженности на начало года",'[1]СВОД с расшиф'!$A$5,"Округ","ПФО","Наименование территории","КИРОВСКАЯ ОБЛАСТЬ")</f>
        <v>4120.51</v>
      </c>
      <c r="L17" s="199">
        <f>GETPIVOTDATA("Сумма по полю Оплаченная сумма по  выставленным счетам в отчетном периоде",'[1]СВОД с расшиф'!$A$5,"Округ","ПФО","Наименование территории","КИРОВСКАЯ ОБЛАСТЬ")</f>
        <v>29743.040000000001</v>
      </c>
      <c r="M17" s="199">
        <f>GETPIVOTDATA("Сумма по полю Оплаченная сумма за предыдущие  периоды",'[1]СВОД с расшиф'!$A$5,"Округ","ПФО","Наименование территории","КИРОВСКАЯ ОБЛАСТЬ")</f>
        <v>0</v>
      </c>
      <c r="N17" s="200">
        <f t="shared" si="1"/>
        <v>0</v>
      </c>
      <c r="O17" s="152">
        <f>P17+Q17+R17+S17+T17+U17+V17</f>
        <v>0</v>
      </c>
      <c r="P17" s="198">
        <f>GETPIVOTDATA("Сумма по полю Сумма отклонения по  счетам задолженности на начало года",'[1]СВОД с расшиф'!$A$5,"Округ","ПФО","Наименование территории","КИРОВСКАЯ ОБЛАСТЬ")</f>
        <v>0</v>
      </c>
      <c r="Q17" s="198">
        <f>GETPIVOTDATA("Сумма по полю Сумма отклонения по дешкам задолженности на начало года",'[1]СВОД с расшиф'!$A$5,"Округ","ПФО","Наименование территории","КИРОВСКАЯ ОБЛАСТЬ")</f>
        <v>0</v>
      </c>
      <c r="R17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территории","КИРОВСКАЯ ОБЛАСТЬ")</f>
        <v>0</v>
      </c>
      <c r="S17" s="199">
        <f>GETPIVOTDATA("Сумма по полю Сумма отклонения по  выставленным счетам в отчетном периоде",'[1]СВОД с расшиф'!$A$5,"Округ","ПФО","Наименование территории","КИРОВСКАЯ ОБЛАСТЬ")</f>
        <v>0</v>
      </c>
      <c r="T17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территории","КИРОВСКАЯ ОБЛАСТЬ")</f>
        <v>0</v>
      </c>
      <c r="U17" s="198">
        <f>GETPIVOTDATA("Сумма по полю Повторное отклонение по дешкам отчетного периода",'[1]СВОД с расшиф'!$A$5,"Округ","ПФО","Наименование территории","КИРОВСКАЯ ОБЛАСТЬ")</f>
        <v>0</v>
      </c>
      <c r="V17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территории","КИРОВСКАЯ ОБЛАСТЬ")</f>
        <v>0</v>
      </c>
      <c r="W17" s="152">
        <f>GETPIVOTDATA("Сумма по полю Задолженность по счету",'[1]СВОД с расшиф'!$A$5,"Округ","ПФО","Наименование территории","КИРОВСКАЯ ОБЛАСТЬ")</f>
        <v>47573.79</v>
      </c>
      <c r="X17" s="205">
        <f t="shared" si="2"/>
        <v>47573.789999999994</v>
      </c>
      <c r="Y17" s="205">
        <f t="shared" si="3"/>
        <v>0</v>
      </c>
      <c r="Z17" s="152">
        <f t="shared" si="4"/>
        <v>47573.789999999994</v>
      </c>
      <c r="AA17" s="205">
        <v>823792.33999999985</v>
      </c>
      <c r="AB17" s="205">
        <f t="shared" si="5"/>
        <v>-776218.54999999981</v>
      </c>
      <c r="AC17" s="205">
        <f t="shared" si="6"/>
        <v>47573.79</v>
      </c>
      <c r="AD17" s="152">
        <f t="shared" si="7"/>
        <v>0</v>
      </c>
    </row>
    <row r="18" spans="1:30">
      <c r="A18" s="131"/>
      <c r="B18" s="151" t="s">
        <v>48</v>
      </c>
      <c r="C18" s="198">
        <v>288811.02</v>
      </c>
      <c r="D18" s="198">
        <f>GETPIVOTDATA("Сумма по полю Сумма задолженности на начало года",'[1]СВОД с расшиф'!$A$5,"Округ","ПФО","Наименование территории","НИЖЕГОРОДСКАЯ ОБЛАСТЬ")</f>
        <v>288811.02</v>
      </c>
      <c r="E18" s="152">
        <f t="shared" ref="E18:E30" si="12">F18+G18+H18+I18</f>
        <v>457519.71</v>
      </c>
      <c r="F18" s="198">
        <f>GETPIVOTDATA("Сумма по полю Сумма задолженности на начало года повторно выставленные",'[1]СВОД с расшиф'!$A$5,"Округ","ПФО","Наименование территории","НИЖЕГОРОДСКАЯ ОБЛАСТЬ")</f>
        <v>0</v>
      </c>
      <c r="G18" s="199">
        <f>GETPIVOTDATA("Сумма по полю Сумма выставленного счета в отчетном периоде",'[1]СВОД с расшиф'!$A$5,"Округ","ПФО","Наименование территории","НИЖЕГОРОДСКАЯ ОБЛАСТЬ")</f>
        <v>457519.71</v>
      </c>
      <c r="H18" s="198">
        <f>GETPIVOTDATA("Сумма по полю Сумма повторно выставленного счета в отчетном периоде",'[1]СВОД с расшиф'!$A$5,"Округ","ПФО","Наименование территории","НИЖЕГОРОДСКАЯ ОБЛАСТЬ")</f>
        <v>0</v>
      </c>
      <c r="I18" s="198">
        <f>GETPIVOTDATA("Сумма по полю Сумма выставленного за предыдущие периоды",'[1]СВОД с расшиф'!$A$5,"Округ","ПФО","Наименование территории","НИЖЕГОРОДСКАЯ ОБЛАСТЬ")</f>
        <v>0</v>
      </c>
      <c r="J18" s="152">
        <f t="shared" si="8"/>
        <v>487844.59</v>
      </c>
      <c r="K18" s="198">
        <f>GETPIVOTDATA("Сумма по полю Оплаченная сумма по задолженности на начало года",'[1]СВОД с расшиф'!$A$5,"Округ","ПФО","Наименование территории","НИЖЕГОРОДСКАЯ ОБЛАСТЬ")</f>
        <v>288811.02</v>
      </c>
      <c r="L18" s="199">
        <f>GETPIVOTDATA("Сумма по полю Оплаченная сумма по  выставленным счетам в отчетном периоде",'[1]СВОД с расшиф'!$A$5,"Округ","ПФО","Наименование территории","НИЖЕГОРОДСКАЯ ОБЛАСТЬ")</f>
        <v>199033.57</v>
      </c>
      <c r="M18" s="199">
        <f>GETPIVOTDATA("Сумма по полю Оплаченная сумма за предыдущие  периоды",'[1]СВОД с расшиф'!$A$5,"Округ","ПФО","Наименование территории","НИЖЕГОРОДСКАЯ ОБЛАСТЬ")</f>
        <v>0</v>
      </c>
      <c r="N18" s="200">
        <f t="shared" si="1"/>
        <v>0</v>
      </c>
      <c r="O18" s="152">
        <f t="shared" ref="O18:O30" si="13">P18+Q18+R18+S18+T18+U18+V18</f>
        <v>0</v>
      </c>
      <c r="P18" s="198">
        <f>GETPIVOTDATA("Сумма по полю Сумма отклонения по  счетам задолженности на начало года",'[1]СВОД с расшиф'!$A$5,"Округ","ПФО","Наименование территории","НИЖЕГОРОДСКАЯ ОБЛАСТЬ")</f>
        <v>0</v>
      </c>
      <c r="Q18" s="198">
        <f>GETPIVOTDATA("Сумма по полю Сумма отклонения по дешкам задолженности на начало года",'[1]СВОД с расшиф'!$A$5,"Округ","ПФО","Наименование территории","НИЖЕГОРОДСКАЯ ОБЛАСТЬ")</f>
        <v>0</v>
      </c>
      <c r="R18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территории","НИЖЕГОРОДСКАЯ ОБЛАСТЬ")</f>
        <v>0</v>
      </c>
      <c r="S18" s="199">
        <f>GETPIVOTDATA("Сумма по полю Сумма отклонения по  выставленным счетам в отчетном периоде",'[1]СВОД с расшиф'!$A$5,"Округ","ПФО","Наименование территории","НИЖЕГОРОДСКАЯ ОБЛАСТЬ")</f>
        <v>0</v>
      </c>
      <c r="T18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территории","НИЖЕГОРОДСКАЯ ОБЛАСТЬ")</f>
        <v>0</v>
      </c>
      <c r="U18" s="198">
        <f>GETPIVOTDATA("Сумма по полю Повторное отклонение по дешкам отчетного периода",'[1]СВОД с расшиф'!$A$5,"Округ","ПФО","Наименование территории","НИЖЕГОРОДСКАЯ ОБЛАСТЬ")</f>
        <v>0</v>
      </c>
      <c r="V18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территории","НИЖЕГОРОДСКАЯ ОБЛАСТЬ")</f>
        <v>0</v>
      </c>
      <c r="W18" s="152">
        <f>GETPIVOTDATA("Сумма по полю Задолженность по счету",'[1]СВОД с расшиф'!$A$5,"Округ","ПФО","Наименование территории","НИЖЕГОРОДСКАЯ ОБЛАСТЬ")</f>
        <v>258486.14</v>
      </c>
      <c r="X18" s="205">
        <f t="shared" si="2"/>
        <v>258486.13999999996</v>
      </c>
      <c r="Y18" s="205">
        <f t="shared" si="3"/>
        <v>0</v>
      </c>
      <c r="Z18" s="152">
        <f t="shared" si="4"/>
        <v>258486.13999999996</v>
      </c>
      <c r="AA18" s="205">
        <v>711554.43999999948</v>
      </c>
      <c r="AB18" s="205">
        <f t="shared" si="5"/>
        <v>-453068.29999999952</v>
      </c>
      <c r="AC18" s="205">
        <f t="shared" si="6"/>
        <v>258486.13999999996</v>
      </c>
      <c r="AD18" s="152">
        <f t="shared" si="7"/>
        <v>0</v>
      </c>
    </row>
    <row r="19" spans="1:30">
      <c r="A19" s="131"/>
      <c r="B19" s="151" t="s">
        <v>49</v>
      </c>
      <c r="C19" s="198">
        <v>52591.22</v>
      </c>
      <c r="D19" s="198">
        <f>GETPIVOTDATA("Сумма по полю Сумма задолженности на начало года",'[1]СВОД с расшиф'!$A$5,"Округ","ПФО","Наименование территории","ОРЕНБУРГСКАЯ ОБЛАСТЬ")</f>
        <v>52591.22</v>
      </c>
      <c r="E19" s="152">
        <f t="shared" si="12"/>
        <v>516005.19000000006</v>
      </c>
      <c r="F19" s="198">
        <f>GETPIVOTDATA("Сумма по полю Сумма задолженности на начало года повторно выставленные",'[1]СВОД с расшиф'!$A$5,"Округ","ПФО","Наименование территории","ОРЕНБУРГСКАЯ ОБЛАСТЬ")</f>
        <v>0</v>
      </c>
      <c r="G19" s="199">
        <f>GETPIVOTDATA("Сумма по полю Сумма выставленного счета в отчетном периоде",'[1]СВОД с расшиф'!$A$5,"Округ","ПФО","Наименование территории","ОРЕНБУРГСКАЯ ОБЛАСТЬ")</f>
        <v>516005.19000000006</v>
      </c>
      <c r="H19" s="198">
        <f>GETPIVOTDATA("Сумма по полю Сумма повторно выставленного счета в отчетном периоде",'[1]СВОД с расшиф'!$A$5,"Округ","ПФО","Наименование территории","ОРЕНБУРГСКАЯ ОБЛАСТЬ")</f>
        <v>0</v>
      </c>
      <c r="I19" s="198">
        <f>GETPIVOTDATA("Сумма по полю Сумма выставленного за предыдущие периоды",'[1]СВОД с расшиф'!$A$5,"Округ","ПФО","Наименование территории","ОРЕНБУРГСКАЯ ОБЛАСТЬ")</f>
        <v>0</v>
      </c>
      <c r="J19" s="152">
        <f t="shared" si="8"/>
        <v>499202.03</v>
      </c>
      <c r="K19" s="198">
        <f>GETPIVOTDATA("Сумма по полю Оплаченная сумма по задолженности на начало года",'[1]СВОД с расшиф'!$A$5,"Округ","ПФО","Наименование территории","ОРЕНБУРГСКАЯ ОБЛАСТЬ")</f>
        <v>52591.22</v>
      </c>
      <c r="L19" s="199">
        <f>GETPIVOTDATA("Сумма по полю Оплаченная сумма по  выставленным счетам в отчетном периоде",'[1]СВОД с расшиф'!$A$5,"Округ","ПФО","Наименование территории","ОРЕНБУРГСКАЯ ОБЛАСТЬ")</f>
        <v>446610.81000000006</v>
      </c>
      <c r="M19" s="199">
        <f>GETPIVOTDATA("Сумма по полю Оплаченная сумма за предыдущие  периоды",'[1]СВОД с расшиф'!$A$5,"Округ","ПФО","Наименование территории","ОРЕНБУРГСКАЯ ОБЛАСТЬ")</f>
        <v>0</v>
      </c>
      <c r="N19" s="200">
        <f t="shared" si="1"/>
        <v>0</v>
      </c>
      <c r="O19" s="152">
        <f t="shared" si="13"/>
        <v>0</v>
      </c>
      <c r="P19" s="198">
        <f>GETPIVOTDATA("Сумма по полю Сумма отклонения по  счетам задолженности на начало года",'[1]СВОД с расшиф'!$A$5,"Округ","ПФО","Наименование территории","ОРЕНБУРГСКАЯ ОБЛАСТЬ")</f>
        <v>0</v>
      </c>
      <c r="Q19" s="198">
        <f>GETPIVOTDATA("Сумма по полю Сумма отклонения по дешкам задолженности на начало года",'[1]СВОД с расшиф'!$A$5,"Округ","ПФО","Наименование территории","ОРЕНБУРГСКАЯ ОБЛАСТЬ")</f>
        <v>0</v>
      </c>
      <c r="R19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территории","ОРЕНБУРГСКАЯ ОБЛАСТЬ")</f>
        <v>0</v>
      </c>
      <c r="S19" s="199">
        <f>GETPIVOTDATA("Сумма по полю Сумма отклонения по  выставленным счетам в отчетном периоде",'[1]СВОД с расшиф'!$A$5,"Округ","ПФО","Наименование территории","ОРЕНБУРГСКАЯ ОБЛАСТЬ")</f>
        <v>0</v>
      </c>
      <c r="T19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территории","ОРЕНБУРГСКАЯ ОБЛАСТЬ")</f>
        <v>0</v>
      </c>
      <c r="U19" s="198">
        <f>GETPIVOTDATA("Сумма по полю Повторное отклонение по дешкам отчетного периода",'[1]СВОД с расшиф'!$A$5,"Округ","ПФО","Наименование территории","ОРЕНБУРГСКАЯ ОБЛАСТЬ")</f>
        <v>0</v>
      </c>
      <c r="V19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территории","ОРЕНБУРГСКАЯ ОБЛАСТЬ")</f>
        <v>0</v>
      </c>
      <c r="W19" s="152">
        <f>GETPIVOTDATA("Сумма по полю Задолженность по счету",'[1]СВОД с расшиф'!$A$5,"Округ","ПФО","Наименование территории","ОРЕНБУРГСКАЯ ОБЛАСТЬ")</f>
        <v>69394.38</v>
      </c>
      <c r="X19" s="205">
        <f t="shared" si="2"/>
        <v>69394.38</v>
      </c>
      <c r="Y19" s="205">
        <f t="shared" si="3"/>
        <v>0</v>
      </c>
      <c r="Z19" s="152">
        <f t="shared" si="4"/>
        <v>69394.38</v>
      </c>
      <c r="AA19" s="205">
        <v>116043.81999999999</v>
      </c>
      <c r="AB19" s="205">
        <f t="shared" si="5"/>
        <v>-46649.439999999988</v>
      </c>
      <c r="AC19" s="205">
        <f t="shared" si="6"/>
        <v>69394.38</v>
      </c>
      <c r="AD19" s="152">
        <f t="shared" si="7"/>
        <v>0</v>
      </c>
    </row>
    <row r="20" spans="1:30">
      <c r="A20" s="131"/>
      <c r="B20" s="151" t="s">
        <v>50</v>
      </c>
      <c r="C20" s="198"/>
      <c r="D20" s="198"/>
      <c r="E20" s="152">
        <f t="shared" si="12"/>
        <v>0</v>
      </c>
      <c r="F20" s="198"/>
      <c r="G20" s="199"/>
      <c r="H20" s="198"/>
      <c r="I20" s="198"/>
      <c r="J20" s="152">
        <f t="shared" si="8"/>
        <v>0</v>
      </c>
      <c r="K20" s="198"/>
      <c r="L20" s="199"/>
      <c r="M20" s="199"/>
      <c r="N20" s="200">
        <f t="shared" si="1"/>
        <v>0</v>
      </c>
      <c r="O20" s="152">
        <f t="shared" si="13"/>
        <v>0</v>
      </c>
      <c r="P20" s="198"/>
      <c r="Q20" s="198"/>
      <c r="R20" s="198"/>
      <c r="S20" s="199"/>
      <c r="T20" s="198"/>
      <c r="U20" s="198"/>
      <c r="V20" s="198"/>
      <c r="W20" s="152"/>
      <c r="X20" s="205">
        <f t="shared" si="2"/>
        <v>0</v>
      </c>
      <c r="Y20" s="205">
        <f t="shared" si="3"/>
        <v>0</v>
      </c>
      <c r="Z20" s="152">
        <f t="shared" si="4"/>
        <v>0</v>
      </c>
      <c r="AA20" s="205">
        <v>0</v>
      </c>
      <c r="AB20" s="205">
        <f t="shared" si="5"/>
        <v>0</v>
      </c>
      <c r="AC20" s="205">
        <f t="shared" si="6"/>
        <v>0</v>
      </c>
      <c r="AD20" s="152">
        <f t="shared" si="7"/>
        <v>0</v>
      </c>
    </row>
    <row r="21" spans="1:30">
      <c r="A21" s="131"/>
      <c r="B21" s="151" t="s">
        <v>51</v>
      </c>
      <c r="C21" s="198">
        <v>49669.27</v>
      </c>
      <c r="D21" s="198">
        <f>GETPIVOTDATA("Сумма по полю Сумма задолженности на начало года",'[1]СВОД с расшиф'!$A$5,"Округ","ПФО","Наименование территории","ПЕРМСКИЙ КРАЙ")</f>
        <v>49669.27</v>
      </c>
      <c r="E21" s="152">
        <f t="shared" si="12"/>
        <v>245777.07</v>
      </c>
      <c r="F21" s="198">
        <f>GETPIVOTDATA("Сумма по полю Сумма задолженности на начало года повторно выставленные",'[1]СВОД с расшиф'!$A$5,"Округ","ПФО","Наименование территории","ПЕРМСКИЙ КРАЙ")</f>
        <v>0</v>
      </c>
      <c r="G21" s="199">
        <f>GETPIVOTDATA("Сумма по полю Сумма выставленного счета в отчетном периоде",'[1]СВОД с расшиф'!$A$5,"Округ","ПФО","Наименование территории","ПЕРМСКИЙ КРАЙ")</f>
        <v>245777.07</v>
      </c>
      <c r="H21" s="198">
        <f>GETPIVOTDATA("Сумма по полю Сумма повторно выставленного счета в отчетном периоде",'[1]СВОД с расшиф'!$A$5,"Округ","ПФО","Наименование территории","ПЕРМСКИЙ КРАЙ")</f>
        <v>0</v>
      </c>
      <c r="I21" s="198">
        <f>GETPIVOTDATA("Сумма по полю Сумма выставленного за предыдущие периоды",'[1]СВОД с расшиф'!$A$5,"Округ","ПФО","Наименование территории","ПЕРМСКИЙ КРАЙ")</f>
        <v>0</v>
      </c>
      <c r="J21" s="152">
        <f t="shared" si="8"/>
        <v>72094.239999999991</v>
      </c>
      <c r="K21" s="198">
        <f>GETPIVOTDATA("Сумма по полю Оплаченная сумма по задолженности на начало года",'[1]СВОД с расшиф'!$A$5,"Округ","ПФО","Наименование территории","ПЕРМСКИЙ КРАЙ")</f>
        <v>49669.27</v>
      </c>
      <c r="L21" s="199">
        <f>GETPIVOTDATA("Сумма по полю Оплаченная сумма по  выставленным счетам в отчетном периоде",'[1]СВОД с расшиф'!$A$5,"Округ","ПФО","Наименование территории","ПЕРМСКИЙ КРАЙ")</f>
        <v>22424.97</v>
      </c>
      <c r="M21" s="199">
        <f>GETPIVOTDATA("Сумма по полю Оплаченная сумма за предыдущие  периоды",'[1]СВОД с расшиф'!$A$5,"Округ","ПФО","Наименование территории","ПЕРМСКИЙ КРАЙ")</f>
        <v>0</v>
      </c>
      <c r="N21" s="200">
        <f t="shared" si="1"/>
        <v>0</v>
      </c>
      <c r="O21" s="152">
        <f t="shared" si="13"/>
        <v>0</v>
      </c>
      <c r="P21" s="198">
        <f>GETPIVOTDATA("Сумма по полю Сумма отклонения по  счетам задолженности на начало года",'[1]СВОД с расшиф'!$A$5,"Округ","ПФО","Наименование территории","ПЕРМСКИЙ КРАЙ")</f>
        <v>0</v>
      </c>
      <c r="Q21" s="198">
        <f>GETPIVOTDATA("Сумма по полю Сумма отклонения по дешкам задолженности на начало года",'[1]СВОД с расшиф'!$A$5,"Округ","ПФО","Наименование территории","ПЕРМСКИЙ КРАЙ")</f>
        <v>0</v>
      </c>
      <c r="R21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территории","ПЕРМСКИЙ КРАЙ")</f>
        <v>0</v>
      </c>
      <c r="S21" s="199">
        <f>GETPIVOTDATA("Сумма по полю Сумма отклонения по  выставленным счетам в отчетном периоде",'[1]СВОД с расшиф'!$A$5,"Округ","ПФО","Наименование территории","ПЕРМСКИЙ КРАЙ")</f>
        <v>0</v>
      </c>
      <c r="T21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территории","ПЕРМСКИЙ КРАЙ")</f>
        <v>0</v>
      </c>
      <c r="U21" s="198">
        <f>GETPIVOTDATA("Сумма по полю Повторное отклонение по дешкам отчетного периода",'[1]СВОД с расшиф'!$A$5,"Округ","ПФО","Наименование территории","ПЕРМСКИЙ КРАЙ")</f>
        <v>0</v>
      </c>
      <c r="V21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территории","ПЕРМСКИЙ КРАЙ")</f>
        <v>0</v>
      </c>
      <c r="W21" s="152">
        <f>GETPIVOTDATA("Сумма по полю Задолженность по счету",'[1]СВОД с расшиф'!$A$5,"Округ","ПФО","Наименование территории","ПЕРМСКИЙ КРАЙ")</f>
        <v>223352.1</v>
      </c>
      <c r="X21" s="205">
        <f t="shared" si="2"/>
        <v>223352.10000000003</v>
      </c>
      <c r="Y21" s="205">
        <f t="shared" si="3"/>
        <v>0</v>
      </c>
      <c r="Z21" s="152">
        <f t="shared" si="4"/>
        <v>223352.10000000003</v>
      </c>
      <c r="AA21" s="205">
        <v>45087.8</v>
      </c>
      <c r="AB21" s="205">
        <f t="shared" si="5"/>
        <v>178264.30000000005</v>
      </c>
      <c r="AC21" s="205">
        <f t="shared" si="6"/>
        <v>223352.10000000003</v>
      </c>
      <c r="AD21" s="152">
        <f t="shared" si="7"/>
        <v>0</v>
      </c>
    </row>
    <row r="22" spans="1:30">
      <c r="A22" s="131"/>
      <c r="B22" s="151" t="s">
        <v>52</v>
      </c>
      <c r="C22" s="198">
        <v>0</v>
      </c>
      <c r="D22" s="198">
        <f>GETPIVOTDATA("Сумма по полю Сумма задолженности на начало года",'[1]СВОД с расшиф'!$A$5,"Округ","ПФО","Наименование территории","РЕСПУБЛИКА БАШКОРТОСТАН")</f>
        <v>0</v>
      </c>
      <c r="E22" s="152">
        <f t="shared" si="12"/>
        <v>298828.10000000003</v>
      </c>
      <c r="F22" s="198">
        <f>GETPIVOTDATA("Сумма по полю Сумма задолженности на начало года повторно выставленные",'[1]СВОД с расшиф'!$A$5,"Округ","ПФО","Наименование территории","РЕСПУБЛИКА БАШКОРТОСТАН")</f>
        <v>0</v>
      </c>
      <c r="G22" s="199">
        <f>GETPIVOTDATA("Сумма по полю Сумма выставленного счета в отчетном периоде",'[1]СВОД с расшиф'!$A$5,"Округ","ПФО","Наименование территории","РЕСПУБЛИКА БАШКОРТОСТАН")</f>
        <v>298828.10000000003</v>
      </c>
      <c r="H22" s="198">
        <f>GETPIVOTDATA("Сумма по полю Сумма повторно выставленного счета в отчетном периоде",'[1]СВОД с расшиф'!$A$5,"Округ","ПФО","Наименование территории","РЕСПУБЛИКА БАШКОРТОСТАН")</f>
        <v>0</v>
      </c>
      <c r="I22" s="198">
        <f>GETPIVOTDATA("Сумма по полю Сумма выставленного за предыдущие периоды",'[1]СВОД с расшиф'!$A$5,"Округ","ПФО","Наименование территории","РЕСПУБЛИКА БАШКОРТОСТАН")</f>
        <v>0</v>
      </c>
      <c r="J22" s="152">
        <f t="shared" si="8"/>
        <v>298828.10000000003</v>
      </c>
      <c r="K22" s="198">
        <f>GETPIVOTDATA("Сумма по полю Оплаченная сумма по задолженности на начало года",'[1]СВОД с расшиф'!$A$5,"Округ","ПФО","Наименование территории","РЕСПУБЛИКА БАШКОРТОСТАН")</f>
        <v>0</v>
      </c>
      <c r="L22" s="199">
        <f>GETPIVOTDATA("Сумма по полю Оплаченная сумма по  выставленным счетам в отчетном периоде",'[1]СВОД с расшиф'!$A$5,"Округ","ПФО","Наименование территории","РЕСПУБЛИКА БАШКОРТОСТАН")</f>
        <v>298828.10000000003</v>
      </c>
      <c r="M22" s="199">
        <f>GETPIVOTDATA("Сумма по полю Оплаченная сумма за предыдущие  периоды",'[1]СВОД с расшиф'!$A$5,"Округ","ПФО","Наименование территории","РЕСПУБЛИКА БАШКОРТОСТАН")</f>
        <v>0</v>
      </c>
      <c r="N22" s="200">
        <f t="shared" si="1"/>
        <v>0</v>
      </c>
      <c r="O22" s="152">
        <f t="shared" si="13"/>
        <v>0</v>
      </c>
      <c r="P22" s="198">
        <f>GETPIVOTDATA("Сумма по полю Сумма отклонения по  счетам задолженности на начало года",'[1]СВОД с расшиф'!$A$5,"Округ","ПФО","Наименование территории","РЕСПУБЛИКА БАШКОРТОСТАН")</f>
        <v>0</v>
      </c>
      <c r="Q22" s="198">
        <f>GETPIVOTDATA("Сумма по полю Сумма отклонения по дешкам задолженности на начало года",'[1]СВОД с расшиф'!$A$5,"Округ","ПФО","Наименование территории","РЕСПУБЛИКА БАШКОРТОСТАН")</f>
        <v>0</v>
      </c>
      <c r="R22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территории","РЕСПУБЛИКА БАШКОРТОСТАН")</f>
        <v>0</v>
      </c>
      <c r="S22" s="199">
        <f>GETPIVOTDATA("Сумма по полю Сумма отклонения по  выставленным счетам в отчетном периоде",'[1]СВОД с расшиф'!$A$5,"Округ","ПФО","Наименование территории","РЕСПУБЛИКА БАШКОРТОСТАН")</f>
        <v>0</v>
      </c>
      <c r="T22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территории","РЕСПУБЛИКА БАШКОРТОСТАН")</f>
        <v>0</v>
      </c>
      <c r="U22" s="198">
        <f>GETPIVOTDATA("Сумма по полю Повторное отклонение по дешкам отчетного периода",'[1]СВОД с расшиф'!$A$5,"Округ","ПФО","Наименование территории","РЕСПУБЛИКА БАШКОРТОСТАН")</f>
        <v>0</v>
      </c>
      <c r="V22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территории","РЕСПУБЛИКА БАШКОРТОСТАН")</f>
        <v>0</v>
      </c>
      <c r="W22" s="152">
        <f>GETPIVOTDATA("Сумма по полю Задолженность по счету",'[1]СВОД с расшиф'!$A$5,"Округ","ПФО","Наименование территории","РЕСПУБЛИКА БАШКОРТОСТАН")</f>
        <v>0</v>
      </c>
      <c r="X22" s="205">
        <f t="shared" si="2"/>
        <v>0</v>
      </c>
      <c r="Y22" s="205">
        <f t="shared" si="3"/>
        <v>0</v>
      </c>
      <c r="Z22" s="152">
        <f t="shared" si="4"/>
        <v>0</v>
      </c>
      <c r="AA22" s="205">
        <v>73386.730000000025</v>
      </c>
      <c r="AB22" s="205">
        <f t="shared" si="5"/>
        <v>-73386.730000000025</v>
      </c>
      <c r="AC22" s="205">
        <f t="shared" si="6"/>
        <v>0</v>
      </c>
      <c r="AD22" s="152">
        <f t="shared" si="7"/>
        <v>0</v>
      </c>
    </row>
    <row r="23" spans="1:30">
      <c r="A23" s="131"/>
      <c r="B23" s="151" t="s">
        <v>53</v>
      </c>
      <c r="C23" s="198">
        <v>0</v>
      </c>
      <c r="D23" s="198">
        <f>GETPIVOTDATA("Сумма по полю Сумма задолженности на начало года",'[1]СВОД с расшиф'!$A$5,"Округ","ПФО","Наименование территории","РЕСПУБЛИКА МАРИЙ ЭЛ")</f>
        <v>0</v>
      </c>
      <c r="E23" s="152">
        <f t="shared" si="12"/>
        <v>322903.92000000004</v>
      </c>
      <c r="F23" s="198">
        <f>GETPIVOTDATA("Сумма по полю Сумма задолженности на начало года повторно выставленные",'[1]СВОД с расшиф'!$A$5,"Округ","ПФО","Наименование территории","РЕСПУБЛИКА МАРИЙ ЭЛ")</f>
        <v>0</v>
      </c>
      <c r="G23" s="199">
        <f>GETPIVOTDATA("Сумма по полю Сумма выставленного счета в отчетном периоде",'[1]СВОД с расшиф'!$A$5,"Округ","ПФО","Наименование территории","РЕСПУБЛИКА МАРИЙ ЭЛ")</f>
        <v>322903.92000000004</v>
      </c>
      <c r="H23" s="198">
        <f>GETPIVOTDATA("Сумма по полю Сумма повторно выставленного счета в отчетном периоде",'[1]СВОД с расшиф'!$A$5,"Округ","ПФО","Наименование территории","РЕСПУБЛИКА МАРИЙ ЭЛ")</f>
        <v>0</v>
      </c>
      <c r="I23" s="198">
        <f>GETPIVOTDATA("Сумма по полю Сумма выставленного за предыдущие периоды",'[1]СВОД с расшиф'!$A$5,"Округ","ПФО","Наименование территории","РЕСПУБЛИКА МАРИЙ ЭЛ")</f>
        <v>0</v>
      </c>
      <c r="J23" s="152">
        <f t="shared" si="8"/>
        <v>81127.19</v>
      </c>
      <c r="K23" s="198">
        <f>GETPIVOTDATA("Сумма по полю Оплаченная сумма по задолженности на начало года",'[1]СВОД с расшиф'!$A$5,"Округ","ПФО","Наименование территории","РЕСПУБЛИКА МАРИЙ ЭЛ")</f>
        <v>0</v>
      </c>
      <c r="L23" s="199">
        <f>GETPIVOTDATA("Сумма по полю Оплаченная сумма по  выставленным счетам в отчетном периоде",'[1]СВОД с расшиф'!$A$5,"Округ","ПФО","Наименование территории","РЕСПУБЛИКА МАРИЙ ЭЛ")</f>
        <v>81127.19</v>
      </c>
      <c r="M23" s="199">
        <f>GETPIVOTDATA("Сумма по полю Оплаченная сумма за предыдущие  периоды",'[1]СВОД с расшиф'!$A$5,"Округ","ПФО","Наименование территории","РЕСПУБЛИКА МАРИЙ ЭЛ")</f>
        <v>0</v>
      </c>
      <c r="N23" s="200">
        <f t="shared" si="1"/>
        <v>0</v>
      </c>
      <c r="O23" s="152">
        <f t="shared" si="13"/>
        <v>0</v>
      </c>
      <c r="P23" s="198">
        <f>GETPIVOTDATA("Сумма по полю Сумма отклонения по  счетам задолженности на начало года",'[1]СВОД с расшиф'!$A$5,"Округ","ПФО","Наименование территории","РЕСПУБЛИКА МАРИЙ ЭЛ")</f>
        <v>0</v>
      </c>
      <c r="Q23" s="198">
        <f>GETPIVOTDATA("Сумма по полю Сумма отклонения по дешкам задолженности на начало года",'[1]СВОД с расшиф'!$A$5,"Округ","ПФО","Наименование территории","РЕСПУБЛИКА МАРИЙ ЭЛ")</f>
        <v>0</v>
      </c>
      <c r="R23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территории","РЕСПУБЛИКА МАРИЙ ЭЛ")</f>
        <v>0</v>
      </c>
      <c r="S23" s="199">
        <f>GETPIVOTDATA("Сумма по полю Сумма отклонения по  выставленным счетам в отчетном периоде",'[1]СВОД с расшиф'!$A$5,"Округ","ПФО","Наименование территории","РЕСПУБЛИКА МАРИЙ ЭЛ")</f>
        <v>0</v>
      </c>
      <c r="T23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территории","РЕСПУБЛИКА МАРИЙ ЭЛ")</f>
        <v>0</v>
      </c>
      <c r="U23" s="198">
        <f>GETPIVOTDATA("Сумма по полю Повторное отклонение по дешкам отчетного периода",'[1]СВОД с расшиф'!$A$5,"Округ","ПФО","Наименование территории","РЕСПУБЛИКА МАРИЙ ЭЛ")</f>
        <v>0</v>
      </c>
      <c r="V23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территории","РЕСПУБЛИКА МАРИЙ ЭЛ")</f>
        <v>0</v>
      </c>
      <c r="W23" s="152">
        <f>GETPIVOTDATA("Сумма по полю Задолженность по счету",'[1]СВОД с расшиф'!$A$5,"Округ","ПФО","Наименование территории","РЕСПУБЛИКА МАРИЙ ЭЛ")</f>
        <v>241776.73</v>
      </c>
      <c r="X23" s="205">
        <f t="shared" si="2"/>
        <v>241776.73000000004</v>
      </c>
      <c r="Y23" s="205">
        <f t="shared" si="3"/>
        <v>0</v>
      </c>
      <c r="Z23" s="152">
        <f t="shared" si="4"/>
        <v>241776.73000000004</v>
      </c>
      <c r="AA23" s="205">
        <v>4472.100000000004</v>
      </c>
      <c r="AB23" s="205">
        <f t="shared" si="5"/>
        <v>237304.63000000003</v>
      </c>
      <c r="AC23" s="205">
        <f t="shared" si="6"/>
        <v>241776.73000000004</v>
      </c>
      <c r="AD23" s="152">
        <f t="shared" si="7"/>
        <v>0</v>
      </c>
    </row>
    <row r="24" spans="1:30">
      <c r="A24" s="131"/>
      <c r="B24" s="151" t="s">
        <v>54</v>
      </c>
      <c r="C24" s="198">
        <v>4037972.06</v>
      </c>
      <c r="D24" s="198">
        <f>GETPIVOTDATA("Сумма по полю Сумма задолженности на начало года",'[1]СВОД с расшиф'!$A$5,"Округ","ПФО","Наименование территории","РЕСПУБЛИКА МОРДОВИЯ")</f>
        <v>4037972.06</v>
      </c>
      <c r="E24" s="152">
        <f t="shared" si="12"/>
        <v>5142701.68</v>
      </c>
      <c r="F24" s="198">
        <f>GETPIVOTDATA("Сумма по полю Сумма задолженности на начало года повторно выставленные",'[1]СВОД с расшиф'!$A$5,"Округ","ПФО","Наименование территории","РЕСПУБЛИКА МОРДОВИЯ")</f>
        <v>0</v>
      </c>
      <c r="G24" s="199">
        <f>GETPIVOTDATA("Сумма по полю Сумма выставленного счета в отчетном периоде",'[1]СВОД с расшиф'!$A$5,"Округ","ПФО","Наименование территории","РЕСПУБЛИКА МОРДОВИЯ")</f>
        <v>5142701.68</v>
      </c>
      <c r="H24" s="198">
        <f>GETPIVOTDATA("Сумма по полю Сумма повторно выставленного счета в отчетном периоде",'[1]СВОД с расшиф'!$A$5,"Округ","ПФО","Наименование территории","РЕСПУБЛИКА МОРДОВИЯ")</f>
        <v>0</v>
      </c>
      <c r="I24" s="198">
        <f>GETPIVOTDATA("Сумма по полю Сумма выставленного за предыдущие периоды",'[1]СВОД с расшиф'!$A$5,"Округ","ПФО","Наименование территории","РЕСПУБЛИКА МОРДОВИЯ")</f>
        <v>0</v>
      </c>
      <c r="J24" s="152">
        <f t="shared" si="8"/>
        <v>7497533.1600000001</v>
      </c>
      <c r="K24" s="198">
        <f>GETPIVOTDATA("Сумма по полю Оплаченная сумма по задолженности на начало года",'[1]СВОД с расшиф'!$A$5,"Округ","ПФО","Наименование территории","РЕСПУБЛИКА МОРДОВИЯ")</f>
        <v>4037972.06</v>
      </c>
      <c r="L24" s="199">
        <f>GETPIVOTDATA("Сумма по полю Оплаченная сумма по  выставленным счетам в отчетном периоде",'[1]СВОД с расшиф'!$A$5,"Округ","ПФО","Наименование территории","РЕСПУБЛИКА МОРДОВИЯ")</f>
        <v>3459561.1</v>
      </c>
      <c r="M24" s="199">
        <f>GETPIVOTDATA("Сумма по полю Оплаченная сумма за предыдущие  периоды",'[1]СВОД с расшиф'!$A$5,"Округ","ПФО","Наименование территории","РЕСПУБЛИКА МОРДОВИЯ")</f>
        <v>0</v>
      </c>
      <c r="N24" s="200">
        <f t="shared" si="1"/>
        <v>0</v>
      </c>
      <c r="O24" s="152">
        <f t="shared" si="13"/>
        <v>0</v>
      </c>
      <c r="P24" s="198">
        <f>GETPIVOTDATA("Сумма по полю Сумма отклонения по  счетам задолженности на начало года",'[1]СВОД с расшиф'!$A$5,"Округ","ПФО","Наименование территории","РЕСПУБЛИКА МОРДОВИЯ")</f>
        <v>0</v>
      </c>
      <c r="Q24" s="198">
        <f>GETPIVOTDATA("Сумма по полю Сумма отклонения по дешкам задолженности на начало года",'[1]СВОД с расшиф'!$A$5,"Округ","ПФО","Наименование территории","РЕСПУБЛИКА МОРДОВИЯ")</f>
        <v>0</v>
      </c>
      <c r="R24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территории","РЕСПУБЛИКА МОРДОВИЯ")</f>
        <v>0</v>
      </c>
      <c r="S24" s="199">
        <f>GETPIVOTDATA("Сумма по полю Сумма отклонения по  выставленным счетам в отчетном периоде",'[1]СВОД с расшиф'!$A$5,"Округ","ПФО","Наименование территории","РЕСПУБЛИКА МОРДОВИЯ")</f>
        <v>0</v>
      </c>
      <c r="T24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территории","РЕСПУБЛИКА МОРДОВИЯ")</f>
        <v>0</v>
      </c>
      <c r="U24" s="198">
        <f>GETPIVOTDATA("Сумма по полю Повторное отклонение по дешкам отчетного периода",'[1]СВОД с расшиф'!$A$5,"Округ","ПФО","Наименование территории","РЕСПУБЛИКА МОРДОВИЯ")</f>
        <v>0</v>
      </c>
      <c r="V24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территории","РЕСПУБЛИКА МОРДОВИЯ")</f>
        <v>0</v>
      </c>
      <c r="W24" s="152">
        <f>GETPIVOTDATA("Сумма по полю Задолженность по счету",'[1]СВОД с расшиф'!$A$5,"Округ","ПФО","Наименование территории","РЕСПУБЛИКА МОРДОВИЯ")</f>
        <v>1683140.58</v>
      </c>
      <c r="X24" s="205">
        <f t="shared" si="2"/>
        <v>1683140.58</v>
      </c>
      <c r="Y24" s="205">
        <f t="shared" si="3"/>
        <v>0</v>
      </c>
      <c r="Z24" s="152">
        <f t="shared" si="4"/>
        <v>1683140.58</v>
      </c>
      <c r="AA24" s="205">
        <v>2738391.4700000016</v>
      </c>
      <c r="AB24" s="205">
        <f t="shared" si="5"/>
        <v>-1055250.8900000015</v>
      </c>
      <c r="AC24" s="205">
        <f>D24+G24+I24-K24-L24-M24-N24+F24</f>
        <v>1683140.5799999996</v>
      </c>
      <c r="AD24" s="152">
        <f t="shared" si="7"/>
        <v>0</v>
      </c>
    </row>
    <row r="25" spans="1:30">
      <c r="A25" s="131"/>
      <c r="B25" s="151" t="s">
        <v>55</v>
      </c>
      <c r="C25" s="198">
        <v>0</v>
      </c>
      <c r="D25" s="198">
        <f>GETPIVOTDATA("Сумма по полю Сумма задолженности на начало года",'[1]СВОД с расшиф'!$A$5,"Округ","ПФО","Наименование территории","РЕСПУБЛИКА ТАТАРСТАН")</f>
        <v>0</v>
      </c>
      <c r="E25" s="152">
        <f t="shared" si="12"/>
        <v>931980.83000000007</v>
      </c>
      <c r="F25" s="198">
        <f>GETPIVOTDATA("Сумма по полю Сумма задолженности на начало года повторно выставленные",'[1]СВОД с расшиф'!$A$5,"Округ","ПФО","Наименование территории","РЕСПУБЛИКА ТАТАРСТАН")</f>
        <v>0</v>
      </c>
      <c r="G25" s="199">
        <f>GETPIVOTDATA("Сумма по полю Сумма выставленного счета в отчетном периоде",'[1]СВОД с расшиф'!$A$5,"Округ","ПФО","Наименование территории","РЕСПУБЛИКА ТАТАРСТАН")</f>
        <v>931980.83000000007</v>
      </c>
      <c r="H25" s="198">
        <f>GETPIVOTDATA("Сумма по полю Сумма повторно выставленного счета в отчетном периоде",'[1]СВОД с расшиф'!$A$5,"Округ","ПФО","Наименование территории","РЕСПУБЛИКА ТАТАРСТАН")</f>
        <v>0</v>
      </c>
      <c r="I25" s="198">
        <f>GETPIVOTDATA("Сумма по полю Сумма выставленного за предыдущие периоды",'[1]СВОД с расшиф'!$A$5,"Округ","ПФО","Наименование территории","РЕСПУБЛИКА ТАТАРСТАН")</f>
        <v>0</v>
      </c>
      <c r="J25" s="152">
        <f t="shared" si="8"/>
        <v>486476.68000000005</v>
      </c>
      <c r="K25" s="198">
        <f>GETPIVOTDATA("Сумма по полю Оплаченная сумма по задолженности на начало года",'[1]СВОД с расшиф'!$A$5,"Округ","ПФО","Наименование территории","РЕСПУБЛИКА ТАТАРСТАН")</f>
        <v>0</v>
      </c>
      <c r="L25" s="199">
        <f>GETPIVOTDATA("Сумма по полю Оплаченная сумма по  выставленным счетам в отчетном периоде",'[1]СВОД с расшиф'!$A$5,"Округ","ПФО","Наименование территории","РЕСПУБЛИКА ТАТАРСТАН")</f>
        <v>486476.68000000005</v>
      </c>
      <c r="M25" s="199">
        <f>GETPIVOTDATA("Сумма по полю Оплаченная сумма за предыдущие  периоды",'[1]СВОД с расшиф'!$A$5,"Округ","ПФО","Наименование территории","РЕСПУБЛИКА ТАТАРСТАН")</f>
        <v>0</v>
      </c>
      <c r="N25" s="200">
        <f t="shared" si="1"/>
        <v>0</v>
      </c>
      <c r="O25" s="152">
        <f t="shared" si="13"/>
        <v>0</v>
      </c>
      <c r="P25" s="198">
        <f>GETPIVOTDATA("Сумма по полю Сумма отклонения по  счетам задолженности на начало года",'[1]СВОД с расшиф'!$A$5,"Округ","ПФО","Наименование территории","РЕСПУБЛИКА ТАТАРСТАН")</f>
        <v>0</v>
      </c>
      <c r="Q25" s="198">
        <f>GETPIVOTDATA("Сумма по полю Сумма отклонения по дешкам задолженности на начало года",'[1]СВОД с расшиф'!$A$5,"Округ","ПФО","Наименование территории","РЕСПУБЛИКА ТАТАРСТАН")</f>
        <v>0</v>
      </c>
      <c r="R25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территории","РЕСПУБЛИКА ТАТАРСТАН")</f>
        <v>0</v>
      </c>
      <c r="S25" s="199">
        <f>GETPIVOTDATA("Сумма по полю Сумма отклонения по  выставленным счетам в отчетном периоде",'[1]СВОД с расшиф'!$A$5,"Округ","ПФО","Наименование территории","РЕСПУБЛИКА ТАТАРСТАН")</f>
        <v>0</v>
      </c>
      <c r="T25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территории","РЕСПУБЛИКА ТАТАРСТАН")</f>
        <v>0</v>
      </c>
      <c r="U25" s="198">
        <f>GETPIVOTDATA("Сумма по полю Повторное отклонение по дешкам отчетного периода",'[1]СВОД с расшиф'!$A$5,"Округ","ПФО","Наименование территории","РЕСПУБЛИКА ТАТАРСТАН")</f>
        <v>0</v>
      </c>
      <c r="V25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территории","РЕСПУБЛИКА ТАТАРСТАН")</f>
        <v>0</v>
      </c>
      <c r="W25" s="152">
        <f>GETPIVOTDATA("Сумма по полю Задолженность по счету",'[1]СВОД с расшиф'!$A$5,"Округ","ПФО","Наименование территории","РЕСПУБЛИКА ТАТАРСТАН")</f>
        <v>445504.15</v>
      </c>
      <c r="X25" s="205">
        <f t="shared" si="2"/>
        <v>445504.15</v>
      </c>
      <c r="Y25" s="205">
        <f t="shared" si="3"/>
        <v>0</v>
      </c>
      <c r="Z25" s="152">
        <f t="shared" si="4"/>
        <v>445504.15</v>
      </c>
      <c r="AA25" s="205">
        <v>1050316.5299999998</v>
      </c>
      <c r="AB25" s="205">
        <f t="shared" si="5"/>
        <v>-604812.37999999977</v>
      </c>
      <c r="AC25" s="205">
        <f>D25+G25+I25-K25-L25-M25-N25+F25</f>
        <v>445504.15</v>
      </c>
      <c r="AD25" s="152">
        <f t="shared" si="7"/>
        <v>0</v>
      </c>
    </row>
    <row r="26" spans="1:30" s="102" customFormat="1">
      <c r="A26" s="157"/>
      <c r="B26" s="158" t="s">
        <v>56</v>
      </c>
      <c r="C26" s="206">
        <v>4024484.3599999994</v>
      </c>
      <c r="D26" s="206">
        <f>GETPIVOTDATA("Сумма по полю Сумма задолженности на начало года",'[1]СВОД с расшиф'!$A$5,"Округ","ПФО","Наименование территории","САМАРСКАЯ ОБЛАСТЬ")</f>
        <v>4591677.5199999986</v>
      </c>
      <c r="E26" s="152">
        <f t="shared" si="12"/>
        <v>5247356.4399999995</v>
      </c>
      <c r="F26" s="206">
        <f>GETPIVOTDATA("Сумма по полю Сумма задолженности на начало года повторно выставленные",'[1]СВОД с расшиф'!$A$5,"Округ","ПФО","Наименование территории","САМАРСКАЯ ОБЛАСТЬ")</f>
        <v>0</v>
      </c>
      <c r="G26" s="207">
        <f>GETPIVOTDATA("Сумма по полю Сумма выставленного счета в отчетном периоде",'[1]СВОД с расшиф'!$A$5,"Округ","ПФО","Наименование территории","САМАРСКАЯ ОБЛАСТЬ")</f>
        <v>5247356.4399999995</v>
      </c>
      <c r="H26" s="206">
        <f>GETPIVOTDATA("Сумма по полю Сумма повторно выставленного счета в отчетном периоде",'[1]СВОД с расшиф'!$A$5,"Округ","ПФО","Наименование территории","САМАРСКАЯ ОБЛАСТЬ")</f>
        <v>0</v>
      </c>
      <c r="I26" s="206">
        <f>GETPIVOTDATA("Сумма по полю Сумма выставленного за предыдущие периоды",'[1]СВОД с расшиф'!$A$5,"Округ","ПФО","Наименование территории","САМАРСКАЯ ОБЛАСТЬ")</f>
        <v>0</v>
      </c>
      <c r="J26" s="152">
        <f t="shared" si="8"/>
        <v>8482946.8299999982</v>
      </c>
      <c r="K26" s="206">
        <f>GETPIVOTDATA("Сумма по полю Оплаченная сумма по задолженности на начало года",'[1]СВОД с расшиф'!$A$5,"Округ","ПФО","Наименование территории","САМАРСКАЯ ОБЛАСТЬ")</f>
        <v>4591677.5199999986</v>
      </c>
      <c r="L26" s="207">
        <f>GETPIVOTDATA("Сумма по полю Оплаченная сумма по  выставленным счетам в отчетном периоде",'[1]СВОД с расшиф'!$A$5,"Округ","ПФО","Наименование территории","САМАРСКАЯ ОБЛАСТЬ")</f>
        <v>3891269.3099999996</v>
      </c>
      <c r="M26" s="207">
        <f>GETPIVOTDATA("Сумма по полю Оплаченная сумма за предыдущие  периоды",'[1]СВОД с расшиф'!$A$5,"Округ","ПФО","Наименование территории","САМАРСКАЯ ОБЛАСТЬ")</f>
        <v>0</v>
      </c>
      <c r="N26" s="200">
        <f t="shared" si="1"/>
        <v>0</v>
      </c>
      <c r="O26" s="152">
        <f t="shared" si="13"/>
        <v>0</v>
      </c>
      <c r="P26" s="206">
        <f>GETPIVOTDATA("Сумма по полю Сумма отклонения по  счетам задолженности на начало года",'[1]СВОД с расшиф'!$A$5,"Округ","ПФО","Наименование территории","САМАРСКАЯ ОБЛАСТЬ")</f>
        <v>0</v>
      </c>
      <c r="Q26" s="206">
        <f>GETPIVOTDATA("Сумма по полю Сумма отклонения по дешкам задолженности на начало года",'[1]СВОД с расшиф'!$A$5,"Округ","ПФО","Наименование территории","САМАРСКАЯ ОБЛАСТЬ")</f>
        <v>0</v>
      </c>
      <c r="R26" s="206">
        <f>GETPIVOTDATA("Сумма по полю Повтороное отклонение по дешкам задолженности на начало года",'[1]СВОД с расшиф'!$A$5,"Округ","ПФО","Наименование территории","САМАРСКАЯ ОБЛАСТЬ")</f>
        <v>0</v>
      </c>
      <c r="S26" s="207">
        <f>GETPIVOTDATA("Сумма по полю Сумма отклонения по  выставленным счетам в отчетном периоде",'[1]СВОД с расшиф'!$A$5,"Округ","ПФО","Наименование территории","САМАРСКАЯ ОБЛАСТЬ")</f>
        <v>0</v>
      </c>
      <c r="T26" s="206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территории","САМАРСКАЯ ОБЛАСТЬ")</f>
        <v>0</v>
      </c>
      <c r="U26" s="206">
        <f>GETPIVOTDATA("Сумма по полю Повторное отклонение по дешкам отчетного периода",'[1]СВОД с расшиф'!$A$5,"Округ","ПФО","Наименование территории","САМАРСКАЯ ОБЛАСТЬ")</f>
        <v>0</v>
      </c>
      <c r="V26" s="206">
        <f>GETPIVOTDATA("Сумма по полю Сумма отклонения по  выставленным счетам за предыдущие периоды",'[1]СВОД с расшиф'!$A$5,"Округ","ПФО","Наименование территории","САМАРСКАЯ ОБЛАСТЬ")</f>
        <v>0</v>
      </c>
      <c r="W26" s="152">
        <f>GETPIVOTDATA("Сумма по полю Задолженность по счету",'[1]СВОД с расшиф'!$A$5,"Округ","ПФО","Наименование территории","САМАРСКАЯ ОБЛАСТЬ")</f>
        <v>1356087.1300000001</v>
      </c>
      <c r="X26" s="205">
        <f t="shared" si="2"/>
        <v>1356087.129999999</v>
      </c>
      <c r="Y26" s="205">
        <f t="shared" si="3"/>
        <v>0</v>
      </c>
      <c r="Z26" s="152">
        <f t="shared" si="4"/>
        <v>1356087.129999999</v>
      </c>
      <c r="AA26" s="205">
        <v>3903993.9100000025</v>
      </c>
      <c r="AB26" s="205">
        <f t="shared" si="5"/>
        <v>-2547906.7800000035</v>
      </c>
      <c r="AC26" s="205">
        <f>D26+G26+I26-K26-L26-M26-N26+F26</f>
        <v>1356087.129999999</v>
      </c>
      <c r="AD26" s="152">
        <f t="shared" si="7"/>
        <v>0</v>
      </c>
    </row>
    <row r="27" spans="1:30">
      <c r="A27" s="131"/>
      <c r="B27" s="151" t="s">
        <v>57</v>
      </c>
      <c r="C27" s="198">
        <v>1876830.27</v>
      </c>
      <c r="D27" s="198">
        <f>GETPIVOTDATA("Сумма по полю Сумма задолженности на начало года",'[1]СВОД с расшиф'!$A$5,"Округ","ПФО","Наименование территории","САРАТОВСКАЯ ОБЛАСТЬ")</f>
        <v>1876830.27</v>
      </c>
      <c r="E27" s="152">
        <f t="shared" si="12"/>
        <v>3501633.12</v>
      </c>
      <c r="F27" s="198">
        <f>GETPIVOTDATA("Сумма по полю Сумма задолженности на начало года повторно выставленные",'[1]СВОД с расшиф'!$A$5,"Округ","ПФО","Наименование территории","САРАТОВСКАЯ ОБЛАСТЬ")</f>
        <v>0</v>
      </c>
      <c r="G27" s="199">
        <f>GETPIVOTDATA("Сумма по полю Сумма выставленного счета в отчетном периоде",'[1]СВОД с расшиф'!$A$5,"Округ","ПФО","Наименование территории","САРАТОВСКАЯ ОБЛАСТЬ")</f>
        <v>3501633.12</v>
      </c>
      <c r="H27" s="198">
        <f>GETPIVOTDATA("Сумма по полю Сумма повторно выставленного счета в отчетном периоде",'[1]СВОД с расшиф'!$A$5,"Округ","ПФО","Наименование территории","САРАТОВСКАЯ ОБЛАСТЬ")</f>
        <v>0</v>
      </c>
      <c r="I27" s="198">
        <f>GETPIVOTDATA("Сумма по полю Сумма выставленного за предыдущие периоды",'[1]СВОД с расшиф'!$A$5,"Округ","ПФО","Наименование территории","САРАТОВСКАЯ ОБЛАСТЬ")</f>
        <v>0</v>
      </c>
      <c r="J27" s="152">
        <f t="shared" si="8"/>
        <v>4260575.4000000004</v>
      </c>
      <c r="K27" s="198">
        <f>GETPIVOTDATA("Сумма по полю Оплаченная сумма по задолженности на начало года",'[1]СВОД с расшиф'!$A$5,"Округ","ПФО","Наименование территории","САРАТОВСКАЯ ОБЛАСТЬ")</f>
        <v>1875276.18</v>
      </c>
      <c r="L27" s="199">
        <f>GETPIVOTDATA("Сумма по полю Оплаченная сумма по  выставленным счетам в отчетном периоде",'[1]СВОД с расшиф'!$A$5,"Округ","ПФО","Наименование территории","САРАТОВСКАЯ ОБЛАСТЬ")</f>
        <v>2385299.2200000002</v>
      </c>
      <c r="M27" s="199">
        <f>GETPIVOTDATA("Сумма по полю Оплаченная сумма за предыдущие  периоды",'[1]СВОД с расшиф'!$A$5,"Округ","ПФО","Наименование территории","САРАТОВСКАЯ ОБЛАСТЬ")</f>
        <v>0</v>
      </c>
      <c r="N27" s="200">
        <f t="shared" si="1"/>
        <v>1554.09</v>
      </c>
      <c r="O27" s="152">
        <f t="shared" si="13"/>
        <v>1554.09</v>
      </c>
      <c r="P27" s="198">
        <f>GETPIVOTDATA("Сумма по полю Сумма отклонения по  счетам задолженности на начало года",'[1]СВОД с расшиф'!$A$5,"Округ","ПФО","Наименование территории","САРАТОВСКАЯ ОБЛАСТЬ")</f>
        <v>1554.09</v>
      </c>
      <c r="Q27" s="198">
        <f>GETPIVOTDATA("Сумма по полю Сумма отклонения по дешкам задолженности на начало года",'[1]СВОД с расшиф'!$A$5,"Округ","ПФО","Наименование территории","САРАТОВСКАЯ ОБЛАСТЬ")</f>
        <v>0</v>
      </c>
      <c r="R27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территории","САРАТОВСКАЯ ОБЛАСТЬ")</f>
        <v>0</v>
      </c>
      <c r="S27" s="199">
        <f>GETPIVOTDATA("Сумма по полю Сумма отклонения по  выставленным счетам в отчетном периоде",'[1]СВОД с расшиф'!$A$5,"Округ","ПФО","Наименование территории","САРАТОВСКАЯ ОБЛАСТЬ")</f>
        <v>0</v>
      </c>
      <c r="T27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территории","САРАТОВСКАЯ ОБЛАСТЬ")</f>
        <v>0</v>
      </c>
      <c r="U27" s="198">
        <f>GETPIVOTDATA("Сумма по полю Повторное отклонение по дешкам отчетного периода",'[1]СВОД с расшиф'!$A$5,"Округ","ПФО","Наименование территории","САРАТОВСКАЯ ОБЛАСТЬ")</f>
        <v>0</v>
      </c>
      <c r="V27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территории","САРАТОВСКАЯ ОБЛАСТЬ")</f>
        <v>0</v>
      </c>
      <c r="W27" s="152">
        <f>GETPIVOTDATA("Сумма по полю Задолженность по счету",'[1]СВОД с расшиф'!$A$5,"Округ","ПФО","Наименование территории","САРАТОВСКАЯ ОБЛАСТЬ")</f>
        <v>1116333.8999999999</v>
      </c>
      <c r="X27" s="205">
        <f t="shared" si="2"/>
        <v>1116333.9000000001</v>
      </c>
      <c r="Y27" s="205">
        <f t="shared" si="3"/>
        <v>0</v>
      </c>
      <c r="Z27" s="152">
        <f t="shared" si="4"/>
        <v>1116333.9000000001</v>
      </c>
      <c r="AA27" s="205">
        <v>11137948.970000001</v>
      </c>
      <c r="AB27" s="205">
        <f t="shared" si="5"/>
        <v>-10021615.07</v>
      </c>
      <c r="AC27" s="205">
        <f t="shared" si="6"/>
        <v>1116333.9000000006</v>
      </c>
      <c r="AD27" s="152">
        <f t="shared" si="7"/>
        <v>0</v>
      </c>
    </row>
    <row r="28" spans="1:30">
      <c r="A28" s="131"/>
      <c r="B28" s="151" t="s">
        <v>58</v>
      </c>
      <c r="C28" s="198">
        <v>583850.80000000005</v>
      </c>
      <c r="D28" s="198">
        <f>GETPIVOTDATA("Сумма по полю Сумма задолженности на начало года",'[1]СВОД с расшиф'!$A$5,"Округ","ПФО","Наименование территории","УДМУРТСКАЯ РЕСПУБЛИКА")</f>
        <v>583850.80000000005</v>
      </c>
      <c r="E28" s="152">
        <f t="shared" si="12"/>
        <v>653775.49</v>
      </c>
      <c r="F28" s="198">
        <f>GETPIVOTDATA("Сумма по полю Сумма задолженности на начало года повторно выставленные",'[1]СВОД с расшиф'!$A$5,"Округ","ПФО","Наименование территории","УДМУРТСКАЯ РЕСПУБЛИКА")</f>
        <v>0</v>
      </c>
      <c r="G28" s="199">
        <f>GETPIVOTDATA("Сумма по полю Сумма выставленного счета в отчетном периоде",'[1]СВОД с расшиф'!$A$5,"Округ","ПФО","Наименование территории","УДМУРТСКАЯ РЕСПУБЛИКА")</f>
        <v>653775.49</v>
      </c>
      <c r="H28" s="198">
        <f>GETPIVOTDATA("Сумма по полю Сумма повторно выставленного счета в отчетном периоде",'[1]СВОД с расшиф'!$A$5,"Округ","ПФО","Наименование территории","УДМУРТСКАЯ РЕСПУБЛИКА")</f>
        <v>0</v>
      </c>
      <c r="I28" s="198">
        <f>GETPIVOTDATA("Сумма по полю Сумма выставленного за предыдущие периоды",'[1]СВОД с расшиф'!$A$5,"Округ","ПФО","Наименование территории","УДМУРТСКАЯ РЕСПУБЛИКА")</f>
        <v>0</v>
      </c>
      <c r="J28" s="152">
        <f t="shared" si="8"/>
        <v>1009717.72</v>
      </c>
      <c r="K28" s="198">
        <f>GETPIVOTDATA("Сумма по полю Оплаченная сумма по задолженности на начало года",'[1]СВОД с расшиф'!$A$5,"Округ","ПФО","Наименование территории","УДМУРТСКАЯ РЕСПУБЛИКА")</f>
        <v>583850.80000000005</v>
      </c>
      <c r="L28" s="199">
        <f>GETPIVOTDATA("Сумма по полю Оплаченная сумма по  выставленным счетам в отчетном периоде",'[1]СВОД с расшиф'!$A$5,"Округ","ПФО","Наименование территории","УДМУРТСКАЯ РЕСПУБЛИКА")</f>
        <v>425866.92</v>
      </c>
      <c r="M28" s="199">
        <f>GETPIVOTDATA("Сумма по полю Оплаченная сумма за предыдущие  периоды",'[1]СВОД с расшиф'!$A$5,"Округ","ПФО","Наименование территории","УДМУРТСКАЯ РЕСПУБЛИКА")</f>
        <v>0</v>
      </c>
      <c r="N28" s="200">
        <f t="shared" si="1"/>
        <v>0</v>
      </c>
      <c r="O28" s="152">
        <f t="shared" si="13"/>
        <v>0</v>
      </c>
      <c r="P28" s="198">
        <f>GETPIVOTDATA("Сумма по полю Сумма отклонения по  счетам задолженности на начало года",'[1]СВОД с расшиф'!$A$5,"Округ","ПФО","Наименование территории","УДМУРТСКАЯ РЕСПУБЛИКА")</f>
        <v>0</v>
      </c>
      <c r="Q28" s="198">
        <f>GETPIVOTDATA("Сумма по полю Сумма отклонения по дешкам задолженности на начало года",'[1]СВОД с расшиф'!$A$5,"Округ","ПФО","Наименование территории","УДМУРТСКАЯ РЕСПУБЛИКА")</f>
        <v>0</v>
      </c>
      <c r="R28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территории","УДМУРТСКАЯ РЕСПУБЛИКА")</f>
        <v>0</v>
      </c>
      <c r="S28" s="199">
        <f>GETPIVOTDATA("Сумма по полю Сумма отклонения по  выставленным счетам в отчетном периоде",'[1]СВОД с расшиф'!$A$5,"Округ","ПФО","Наименование территории","УДМУРТСКАЯ РЕСПУБЛИКА")</f>
        <v>0</v>
      </c>
      <c r="T28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территории","УДМУРТСКАЯ РЕСПУБЛИКА")</f>
        <v>0</v>
      </c>
      <c r="U28" s="198">
        <f>GETPIVOTDATA("Сумма по полю Повторное отклонение по дешкам отчетного периода",'[1]СВОД с расшиф'!$A$5,"Округ","ПФО","Наименование территории","УДМУРТСКАЯ РЕСПУБЛИКА")</f>
        <v>0</v>
      </c>
      <c r="V28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территории","УДМУРТСКАЯ РЕСПУБЛИКА")</f>
        <v>0</v>
      </c>
      <c r="W28" s="152">
        <f>GETPIVOTDATA("Сумма по полю Задолженность по счету",'[1]СВОД с расшиф'!$A$5,"Округ","ПФО","Наименование территории","УДМУРТСКАЯ РЕСПУБЛИКА")</f>
        <v>227908.57</v>
      </c>
      <c r="X28" s="205">
        <f t="shared" si="2"/>
        <v>227908.57000000007</v>
      </c>
      <c r="Y28" s="205">
        <f t="shared" si="3"/>
        <v>0</v>
      </c>
      <c r="Z28" s="152">
        <f t="shared" si="4"/>
        <v>227908.57000000007</v>
      </c>
      <c r="AA28" s="205">
        <v>91266.499999999985</v>
      </c>
      <c r="AB28" s="205">
        <f t="shared" si="5"/>
        <v>136642.07000000007</v>
      </c>
      <c r="AC28" s="205">
        <f t="shared" si="6"/>
        <v>227908.57</v>
      </c>
      <c r="AD28" s="152">
        <f t="shared" si="7"/>
        <v>0</v>
      </c>
    </row>
    <row r="29" spans="1:30">
      <c r="A29" s="131"/>
      <c r="B29" s="151" t="s">
        <v>59</v>
      </c>
      <c r="C29" s="198">
        <v>1080218.7</v>
      </c>
      <c r="D29" s="198">
        <f>GETPIVOTDATA("Сумма по полю Сумма задолженности на начало года",'[1]СВОД с расшиф'!$A$5,"Округ","ПФО","Наименование территории","УЛЬЯНОВСКАЯ ОБЛАСТЬ")</f>
        <v>1080218.7</v>
      </c>
      <c r="E29" s="152">
        <f t="shared" si="12"/>
        <v>1210065</v>
      </c>
      <c r="F29" s="198">
        <f>GETPIVOTDATA("Сумма по полю Сумма задолженности на начало года повторно выставленные",'[1]СВОД с расшиф'!$A$5,"Округ","ПФО","Наименование территории","УЛЬЯНОВСКАЯ ОБЛАСТЬ")</f>
        <v>0</v>
      </c>
      <c r="G29" s="199">
        <f>GETPIVOTDATA("Сумма по полю Сумма выставленного счета в отчетном периоде",'[1]СВОД с расшиф'!$A$5,"Округ","ПФО","Наименование территории","УЛЬЯНОВСКАЯ ОБЛАСТЬ")</f>
        <v>1210065</v>
      </c>
      <c r="H29" s="198">
        <f>GETPIVOTDATA("Сумма по полю Сумма повторно выставленного счета в отчетном периоде",'[1]СВОД с расшиф'!$A$5,"Округ","ПФО","Наименование территории","УЛЬЯНОВСКАЯ ОБЛАСТЬ")</f>
        <v>0</v>
      </c>
      <c r="I29" s="198">
        <f>GETPIVOTDATA("Сумма по полю Сумма выставленного за предыдущие периоды",'[1]СВОД с расшиф'!$A$5,"Округ","ПФО","Наименование территории","УЛЬЯНОВСКАЯ ОБЛАСТЬ")</f>
        <v>0</v>
      </c>
      <c r="J29" s="152">
        <f t="shared" si="8"/>
        <v>2290283.7000000002</v>
      </c>
      <c r="K29" s="198">
        <f>GETPIVOTDATA("Сумма по полю Оплаченная сумма по задолженности на начало года",'[1]СВОД с расшиф'!$A$5,"Округ","ПФО","Наименование территории","УЛЬЯНОВСКАЯ ОБЛАСТЬ")</f>
        <v>1080218.7</v>
      </c>
      <c r="L29" s="199">
        <f>GETPIVOTDATA("Сумма по полю Оплаченная сумма по  выставленным счетам в отчетном периоде",'[1]СВОД с расшиф'!$A$5,"Округ","ПФО","Наименование территории","УЛЬЯНОВСКАЯ ОБЛАСТЬ")</f>
        <v>1210065</v>
      </c>
      <c r="M29" s="199">
        <f>GETPIVOTDATA("Сумма по полю Оплаченная сумма за предыдущие  периоды",'[1]СВОД с расшиф'!$A$5,"Округ","ПФО","Наименование территории","УЛЬЯНОВСКАЯ ОБЛАСТЬ")</f>
        <v>0</v>
      </c>
      <c r="N29" s="200">
        <f t="shared" si="1"/>
        <v>0</v>
      </c>
      <c r="O29" s="152">
        <f t="shared" si="13"/>
        <v>0</v>
      </c>
      <c r="P29" s="198">
        <f>GETPIVOTDATA("Сумма по полю Сумма отклонения по  счетам задолженности на начало года",'[1]СВОД с расшиф'!$A$5,"Округ","ПФО","Наименование территории","УЛЬЯНОВСКАЯ ОБЛАСТЬ")</f>
        <v>0</v>
      </c>
      <c r="Q29" s="198">
        <f>GETPIVOTDATA("Сумма по полю Сумма отклонения по дешкам задолженности на начало года",'[1]СВОД с расшиф'!$A$5,"Округ","ПФО","Наименование территории","УЛЬЯНОВСКАЯ ОБЛАСТЬ")</f>
        <v>0</v>
      </c>
      <c r="R29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территории","УЛЬЯНОВСКАЯ ОБЛАСТЬ")</f>
        <v>0</v>
      </c>
      <c r="S29" s="199">
        <f>GETPIVOTDATA("Сумма по полю Сумма отклонения по  выставленным счетам в отчетном периоде",'[1]СВОД с расшиф'!$A$5,"Округ","ПФО","Наименование территории","УЛЬЯНОВСКАЯ ОБЛАСТЬ")</f>
        <v>0</v>
      </c>
      <c r="T29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территории","УЛЬЯНОВСКАЯ ОБЛАСТЬ")</f>
        <v>0</v>
      </c>
      <c r="U29" s="198">
        <f>GETPIVOTDATA("Сумма по полю Повторное отклонение по дешкам отчетного периода",'[1]СВОД с расшиф'!$A$5,"Округ","ПФО","Наименование территории","УЛЬЯНОВСКАЯ ОБЛАСТЬ")</f>
        <v>0</v>
      </c>
      <c r="V29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территории","УЛЬЯНОВСКАЯ ОБЛАСТЬ")</f>
        <v>0</v>
      </c>
      <c r="W29" s="152">
        <f>GETPIVOTDATA("Сумма по полю Задолженность по счету",'[1]СВОД с расшиф'!$A$5,"Округ","ПФО","Наименование территории","УЛЬЯНОВСКАЯ ОБЛАСТЬ")</f>
        <v>0</v>
      </c>
      <c r="X29" s="205">
        <f t="shared" si="2"/>
        <v>0</v>
      </c>
      <c r="Y29" s="205">
        <f t="shared" si="3"/>
        <v>0</v>
      </c>
      <c r="Z29" s="152">
        <f t="shared" si="4"/>
        <v>0</v>
      </c>
      <c r="AA29" s="205">
        <v>169102.41</v>
      </c>
      <c r="AB29" s="205">
        <f t="shared" si="5"/>
        <v>-169102.41</v>
      </c>
      <c r="AC29" s="205">
        <f t="shared" si="6"/>
        <v>2.3283064365386963E-10</v>
      </c>
      <c r="AD29" s="152">
        <f t="shared" si="7"/>
        <v>0</v>
      </c>
    </row>
    <row r="30" spans="1:30">
      <c r="A30" s="131"/>
      <c r="B30" s="151" t="s">
        <v>60</v>
      </c>
      <c r="C30" s="198">
        <v>61703.54</v>
      </c>
      <c r="D30" s="198">
        <f>GETPIVOTDATA("Сумма по полю Сумма задолженности на начало года",'[1]СВОД с расшиф'!$A$5,"Округ","ПФО","Наименование территории","ЧУВАШСКАЯ РЕСПУБЛИКА")</f>
        <v>61703.54</v>
      </c>
      <c r="E30" s="152">
        <f t="shared" si="12"/>
        <v>535428.39</v>
      </c>
      <c r="F30" s="198">
        <f>GETPIVOTDATA("Сумма по полю Сумма задолженности на начало года повторно выставленные",'[1]СВОД с расшиф'!$A$5,"Округ","ПФО","Наименование территории","ЧУВАШСКАЯ РЕСПУБЛИКА")</f>
        <v>0</v>
      </c>
      <c r="G30" s="199">
        <f>GETPIVOTDATA("Сумма по полю Сумма выставленного счета в отчетном периоде",'[1]СВОД с расшиф'!$A$5,"Округ","ПФО","Наименование территории","ЧУВАШСКАЯ РЕСПУБЛИКА")</f>
        <v>535428.39</v>
      </c>
      <c r="H30" s="199">
        <f>GETPIVOTDATA("Сумма по полю Сумма повторно выставленного счета в отчетном периоде",'[1]СВОД с расшиф'!$A$5,"Округ","ПФО","Наименование территории","ЧУВАШСКАЯ РЕСПУБЛИКА")</f>
        <v>0</v>
      </c>
      <c r="I30" s="198">
        <f>GETPIVOTDATA("Сумма по полю Сумма выставленного за предыдущие периоды",'[1]СВОД с расшиф'!$A$5,"Округ","ПФО","Наименование территории","ЧУВАШСКАЯ РЕСПУБЛИКА")</f>
        <v>0</v>
      </c>
      <c r="J30" s="152">
        <f t="shared" si="8"/>
        <v>434915.3</v>
      </c>
      <c r="K30" s="198">
        <f>GETPIVOTDATA("Сумма по полю Оплаченная сумма по задолженности на начало года",'[1]СВОД с расшиф'!$A$5,"Округ","ПФО","Наименование территории","ЧУВАШСКАЯ РЕСПУБЛИКА")</f>
        <v>61703.54</v>
      </c>
      <c r="L30" s="199">
        <f>GETPIVOTDATA("Сумма по полю Оплаченная сумма по  выставленным счетам в отчетном периоде",'[1]СВОД с расшиф'!$A$5,"Округ","ПФО","Наименование территории","ЧУВАШСКАЯ РЕСПУБЛИКА")</f>
        <v>373211.76</v>
      </c>
      <c r="M30" s="199">
        <f>GETPIVOTDATA("Сумма по полю Оплаченная сумма за предыдущие  периоды",'[1]СВОД с расшиф'!$A$5,"Округ","ПФО","Наименование территории","ЧУВАШСКАЯ РЕСПУБЛИКА")</f>
        <v>0</v>
      </c>
      <c r="N30" s="200">
        <f t="shared" si="1"/>
        <v>0</v>
      </c>
      <c r="O30" s="152">
        <f t="shared" si="13"/>
        <v>0</v>
      </c>
      <c r="P30" s="198">
        <f>GETPIVOTDATA("Сумма по полю Сумма отклонения по  счетам задолженности на начало года",'[1]СВОД с расшиф'!$A$5,"Округ","ПФО","Наименование территории","ЧУВАШСКАЯ РЕСПУБЛИКА")</f>
        <v>0</v>
      </c>
      <c r="Q30" s="198">
        <f>GETPIVOTDATA("Сумма по полю Сумма отклонения по дешкам задолженности на начало года",'[1]СВОД с расшиф'!$A$5,"Округ","ПФО","Наименование территории","ЧУВАШСКАЯ РЕСПУБЛИКА")</f>
        <v>0</v>
      </c>
      <c r="R30" s="198">
        <f>GETPIVOTDATA("Сумма по полю Повтороное отклонение по дешкам задолженности на начало года",'[1]СВОД с расшиф'!$A$5,"Округ","ПФО","Наименование территории","ЧУВАШСКАЯ РЕСПУБЛИКА")</f>
        <v>0</v>
      </c>
      <c r="S30" s="199">
        <f>GETPIVOTDATA("Сумма по полю Сумма отклонения по  выставленным счетам в отчетном периоде",'[1]СВОД с расшиф'!$A$5,"Округ","ПФО","Наименование территории","ЧУВАШСКАЯ РЕСПУБЛИКА")</f>
        <v>0</v>
      </c>
      <c r="T30" s="198">
        <f>GETPIVOTDATA("Сумма по полю Сумма отклонения по  выставленным счетам в отчетном периоде по дешкам",'[1]СВОД с расшиф'!$A$5,"Округ","ПФО","Наименование территории","ЧУВАШСКАЯ РЕСПУБЛИКА")</f>
        <v>0</v>
      </c>
      <c r="U30" s="198">
        <f>GETPIVOTDATA("Сумма по полю Повторное отклонение по дешкам отчетного периода",'[1]СВОД с расшиф'!$A$5,"Округ","ПФО","Наименование территории","ЧУВАШСКАЯ РЕСПУБЛИКА")</f>
        <v>0</v>
      </c>
      <c r="V30" s="198">
        <f>GETPIVOTDATA("Сумма по полю Сумма отклонения по  выставленным счетам за предыдущие периоды",'[1]СВОД с расшиф'!$A$5,"Округ","ПФО","Наименование территории","ЧУВАШСКАЯ РЕСПУБЛИКА")</f>
        <v>0</v>
      </c>
      <c r="W30" s="152">
        <f>GETPIVOTDATA("Сумма по полю Задолженность по счету",'[1]СВОД с расшиф'!$A$5,"Округ","ПФО","Наименование территории","ЧУВАШСКАЯ РЕСПУБЛИКА")</f>
        <v>162216.63</v>
      </c>
      <c r="X30" s="205">
        <f t="shared" si="2"/>
        <v>162216.63000000006</v>
      </c>
      <c r="Y30" s="205">
        <f t="shared" si="3"/>
        <v>0</v>
      </c>
      <c r="Z30" s="152">
        <f t="shared" si="4"/>
        <v>162216.63000000006</v>
      </c>
      <c r="AA30" s="205">
        <v>4240256.8199999994</v>
      </c>
      <c r="AB30" s="205">
        <f t="shared" si="5"/>
        <v>-4078040.1899999995</v>
      </c>
      <c r="AC30" s="205">
        <f t="shared" si="6"/>
        <v>162216.63</v>
      </c>
      <c r="AD30" s="152">
        <f t="shared" si="7"/>
        <v>0</v>
      </c>
    </row>
    <row r="31" spans="1:30" s="156" customFormat="1">
      <c r="A31" s="153" t="s">
        <v>124</v>
      </c>
      <c r="B31" s="154"/>
      <c r="C31" s="201">
        <f>SUM(C17:C30)</f>
        <v>12060251.749999998</v>
      </c>
      <c r="D31" s="202">
        <f>SUM(D17:D30)</f>
        <v>12627444.909999996</v>
      </c>
      <c r="E31" s="155">
        <f>SUM(E17:E30)</f>
        <v>19141291.77</v>
      </c>
      <c r="F31" s="202">
        <f>SUM(F17:F30)</f>
        <v>0</v>
      </c>
      <c r="G31" s="202">
        <f t="shared" ref="G31:W31" si="14">SUM(G17:G30)</f>
        <v>19141291.77</v>
      </c>
      <c r="H31" s="202">
        <f t="shared" si="14"/>
        <v>0</v>
      </c>
      <c r="I31" s="202">
        <f t="shared" si="14"/>
        <v>0</v>
      </c>
      <c r="J31" s="155">
        <f t="shared" si="14"/>
        <v>25935408.489999995</v>
      </c>
      <c r="K31" s="202">
        <f t="shared" si="14"/>
        <v>12625890.819999997</v>
      </c>
      <c r="L31" s="202">
        <f t="shared" si="14"/>
        <v>13309517.67</v>
      </c>
      <c r="M31" s="202">
        <f t="shared" si="14"/>
        <v>0</v>
      </c>
      <c r="N31" s="203">
        <f t="shared" si="1"/>
        <v>1554.09</v>
      </c>
      <c r="O31" s="185">
        <f>SUM(O17:O30)</f>
        <v>1554.09</v>
      </c>
      <c r="P31" s="202">
        <f t="shared" si="14"/>
        <v>1554.09</v>
      </c>
      <c r="Q31" s="202">
        <f t="shared" si="14"/>
        <v>0</v>
      </c>
      <c r="R31" s="202">
        <f t="shared" si="14"/>
        <v>0</v>
      </c>
      <c r="S31" s="202">
        <f t="shared" si="14"/>
        <v>0</v>
      </c>
      <c r="T31" s="202">
        <f t="shared" si="14"/>
        <v>0</v>
      </c>
      <c r="U31" s="202">
        <f t="shared" si="14"/>
        <v>0</v>
      </c>
      <c r="V31" s="202">
        <f t="shared" si="14"/>
        <v>0</v>
      </c>
      <c r="W31" s="155">
        <f t="shared" si="14"/>
        <v>5831774.1000000006</v>
      </c>
      <c r="X31" s="204">
        <f t="shared" si="2"/>
        <v>5831774.1000000015</v>
      </c>
      <c r="Y31" s="204">
        <f t="shared" si="3"/>
        <v>0</v>
      </c>
      <c r="Z31" s="155">
        <f t="shared" si="4"/>
        <v>5831774.1000000015</v>
      </c>
      <c r="AA31" s="155">
        <v>25105613.839999989</v>
      </c>
      <c r="AB31" s="155">
        <f t="shared" si="5"/>
        <v>-19273839.739999987</v>
      </c>
      <c r="AC31" s="155">
        <f t="shared" si="6"/>
        <v>5831774.0999999996</v>
      </c>
      <c r="AD31" s="155">
        <f t="shared" si="7"/>
        <v>0</v>
      </c>
    </row>
    <row r="32" spans="1:30">
      <c r="A32" s="131" t="s">
        <v>125</v>
      </c>
      <c r="B32" s="151" t="s">
        <v>20</v>
      </c>
      <c r="C32" s="198">
        <v>16584</v>
      </c>
      <c r="D32" s="198">
        <f>GETPIVOTDATA("Сумма по полю Сумма задолженности на начало года",'[1]СВОД с расшиф'!$A$5,"Округ","СЗФО","Наименование территории","АРХАНГЕЛЬСКАЯ ОБЛАСТЬ")</f>
        <v>16584</v>
      </c>
      <c r="E32" s="152">
        <f>F32+G32+H32+I32</f>
        <v>106020.82</v>
      </c>
      <c r="F32" s="198">
        <f>GETPIVOTDATA("Сумма по полю Сумма задолженности на начало года повторно выставленные",'[1]СВОД с расшиф'!$A$5,"Округ","СЗФО","Наименование территории","АРХАНГЕЛЬСКАЯ ОБЛАСТЬ")</f>
        <v>0</v>
      </c>
      <c r="G32" s="199">
        <f>GETPIVOTDATA("Сумма по полю Сумма выставленного счета в отчетном периоде",'[1]СВОД с расшиф'!$A$5,"Округ","СЗФО","Наименование территории","АРХАНГЕЛЬСКАЯ ОБЛАСТЬ")</f>
        <v>106020.82</v>
      </c>
      <c r="H32" s="198">
        <f>GETPIVOTDATA("Сумма по полю Сумма повторно выставленного счета в отчетном периоде",'[1]СВОД с расшиф'!$A$5,"Округ","СЗФО","Наименование территории","АРХАНГЕЛЬСКАЯ ОБЛАСТЬ")</f>
        <v>0</v>
      </c>
      <c r="I32" s="198">
        <f>GETPIVOTDATA("Сумма по полю Сумма выставленного за предыдущие периоды",'[1]СВОД с расшиф'!$A$5,"Округ","СЗФО","Наименование территории","АРХАНГЕЛЬСКАЯ ОБЛАСТЬ")</f>
        <v>0</v>
      </c>
      <c r="J32" s="152">
        <f t="shared" si="8"/>
        <v>30745.41</v>
      </c>
      <c r="K32" s="198">
        <f>GETPIVOTDATA("Сумма по полю Оплаченная сумма по задолженности на начало года",'[1]СВОД с расшиф'!$A$5,"Округ","СЗФО","Наименование территории","АРХАНГЕЛЬСКАЯ ОБЛАСТЬ")</f>
        <v>16584</v>
      </c>
      <c r="L32" s="199">
        <f>GETPIVOTDATA("Сумма по полю Оплаченная сумма по  выставленным счетам в отчетном периоде",'[1]СВОД с расшиф'!$A$5,"Округ","СЗФО","Наименование территории","АРХАНГЕЛЬСКАЯ ОБЛАСТЬ")</f>
        <v>14161.41</v>
      </c>
      <c r="M32" s="199">
        <f>GETPIVOTDATA("Сумма по полю Оплаченная сумма за предыдущие  периоды",'[1]СВОД с расшиф'!$A$5,"Округ","СЗФО","Наименование территории","АРХАНГЕЛЬСКАЯ ОБЛАСТЬ")</f>
        <v>0</v>
      </c>
      <c r="N32" s="200">
        <f t="shared" si="1"/>
        <v>0</v>
      </c>
      <c r="O32" s="152">
        <f>P32+Q32+R32+S32+T32+U32+V32</f>
        <v>0</v>
      </c>
      <c r="P32" s="198">
        <f>GETPIVOTDATA("Сумма по полю Сумма отклонения по  счетам задолженности на начало года",'[1]СВОД с расшиф'!$A$5,"Округ","СЗФО","Наименование территории","АРХАНГЕЛЬСКАЯ ОБЛАСТЬ")</f>
        <v>0</v>
      </c>
      <c r="Q32" s="198">
        <f>GETPIVOTDATA("Сумма по полю Сумма отклонения по дешкам задолженности на начало года",'[1]СВОД с расшиф'!$A$5,"Округ","СЗФО","Наименование территории","АРХАНГЕЛЬСКАЯ ОБЛАСТЬ")</f>
        <v>0</v>
      </c>
      <c r="R32" s="198">
        <f>GETPIVOTDATA("Сумма по полю Повтороное отклонение по дешкам задолженности на начало года",'[1]СВОД с расшиф'!$A$5,"Округ","СЗФО","Наименование территории","АРХАНГЕЛЬСКАЯ ОБЛАСТЬ")</f>
        <v>0</v>
      </c>
      <c r="S32" s="199">
        <f>GETPIVOTDATA("Сумма по полю Сумма отклонения по  выставленным счетам в отчетном периоде",'[1]СВОД с расшиф'!$A$5,"Округ","СЗФО","Наименование территории","АРХАНГЕЛЬСКАЯ ОБЛАСТЬ")</f>
        <v>0</v>
      </c>
      <c r="T32" s="198">
        <f>GETPIVOTDATA("Сумма по полю Сумма отклонения по  выставленным счетам в отчетном периоде по дешкам",'[1]СВОД с расшиф'!$A$5,"Округ","СЗФО","Наименование территории","АРХАНГЕЛЬСКАЯ ОБЛАСТЬ")</f>
        <v>0</v>
      </c>
      <c r="U32" s="198">
        <f>GETPIVOTDATA("Сумма по полю Повторное отклонение по дешкам отчетного периода",'[1]СВОД с расшиф'!$A$5,"Округ","СЗФО","Наименование территории","АРХАНГЕЛЬСКАЯ ОБЛАСТЬ")</f>
        <v>0</v>
      </c>
      <c r="V32" s="198">
        <f>GETPIVOTDATA("Сумма по полю Сумма отклонения по  выставленным счетам за предыдущие периоды",'[1]СВОД с расшиф'!$A$5,"Округ","СЗФО","Наименование территории","АРХАНГЕЛЬСКАЯ ОБЛАСТЬ")</f>
        <v>0</v>
      </c>
      <c r="W32" s="152">
        <f>GETPIVOTDATA("Сумма по полю Задолженность по счету",'[1]СВОД с расшиф'!$A$5,"Округ","СЗФО","Наименование территории","АРХАНГЕЛЬСКАЯ ОБЛАСТЬ")</f>
        <v>91859.41</v>
      </c>
      <c r="X32" s="152">
        <f t="shared" si="2"/>
        <v>91859.41</v>
      </c>
      <c r="Y32" s="152">
        <f t="shared" si="3"/>
        <v>0</v>
      </c>
      <c r="Z32" s="152">
        <f t="shared" si="4"/>
        <v>91859.41</v>
      </c>
      <c r="AA32" s="152">
        <v>20714.650000000045</v>
      </c>
      <c r="AB32" s="152">
        <f t="shared" si="5"/>
        <v>71144.759999999951</v>
      </c>
      <c r="AC32" s="152">
        <f t="shared" si="6"/>
        <v>91859.41</v>
      </c>
      <c r="AD32" s="152">
        <f t="shared" si="7"/>
        <v>0</v>
      </c>
    </row>
    <row r="33" spans="1:30">
      <c r="A33" s="131"/>
      <c r="B33" s="151" t="s">
        <v>21</v>
      </c>
      <c r="C33" s="198">
        <v>0</v>
      </c>
      <c r="D33" s="198">
        <f>GETPIVOTDATA("Сумма по полю Сумма задолженности на начало года",'[1]СВОД с расшиф'!$A$5,"Округ","СЗФО","Наименование территории","ВОЛОГОДСКАЯ ОБЛАСТЬ")</f>
        <v>0</v>
      </c>
      <c r="E33" s="152">
        <f t="shared" ref="E33:E42" si="15">F33+G33+H33+I33</f>
        <v>47325.62</v>
      </c>
      <c r="F33" s="198">
        <f>GETPIVOTDATA("Сумма по полю Сумма задолженности на начало года повторно выставленные",'[1]СВОД с расшиф'!$A$5,"Округ","СЗФО","Наименование территории","ВОЛОГОДСКАЯ ОБЛАСТЬ")</f>
        <v>0</v>
      </c>
      <c r="G33" s="199">
        <f>GETPIVOTDATA("Сумма по полю Сумма выставленного счета в отчетном периоде",'[1]СВОД с расшиф'!$A$5,"Округ","СЗФО","Наименование территории","ВОЛОГОДСКАЯ ОБЛАСТЬ")</f>
        <v>47325.62</v>
      </c>
      <c r="H33" s="198">
        <f>GETPIVOTDATA("Сумма по полю Сумма повторно выставленного счета в отчетном периоде",'[1]СВОД с расшиф'!$A$5,"Округ","СЗФО","Наименование территории","ВОЛОГОДСКАЯ ОБЛАСТЬ")</f>
        <v>0</v>
      </c>
      <c r="I33" s="198">
        <f>GETPIVOTDATA("Сумма по полю Сумма выставленного за предыдущие периоды",'[1]СВОД с расшиф'!$A$5,"Округ","СЗФО","Наименование территории","ВОЛОГОДСКАЯ ОБЛАСТЬ")</f>
        <v>0</v>
      </c>
      <c r="J33" s="152">
        <f t="shared" si="8"/>
        <v>22706.04</v>
      </c>
      <c r="K33" s="198">
        <f>GETPIVOTDATA("Сумма по полю Оплаченная сумма по задолженности на начало года",'[1]СВОД с расшиф'!$A$5,"Округ","СЗФО","Наименование территории","ВОЛОГОДСКАЯ ОБЛАСТЬ")</f>
        <v>0</v>
      </c>
      <c r="L33" s="199">
        <f>GETPIVOTDATA("Сумма по полю Оплаченная сумма по  выставленным счетам в отчетном периоде",'[1]СВОД с расшиф'!$A$5,"Округ","СЗФО","Наименование территории","ВОЛОГОДСКАЯ ОБЛАСТЬ")</f>
        <v>22706.04</v>
      </c>
      <c r="M33" s="199">
        <f>GETPIVOTDATA("Сумма по полю Оплаченная сумма за предыдущие  периоды",'[1]СВОД с расшиф'!$A$5,"Округ","СЗФО","Наименование территории","ВОЛОГОДСКАЯ ОБЛАСТЬ")</f>
        <v>0</v>
      </c>
      <c r="N33" s="200">
        <f t="shared" si="1"/>
        <v>0</v>
      </c>
      <c r="O33" s="152">
        <f t="shared" ref="O33:O42" si="16">P33+Q33+R33+S33+T33+U33+V33</f>
        <v>0</v>
      </c>
      <c r="P33" s="198">
        <f>GETPIVOTDATA("Сумма по полю Сумма отклонения по  счетам задолженности на начало года",'[1]СВОД с расшиф'!$A$5,"Округ","СЗФО","Наименование территории","ВОЛОГОДСКАЯ ОБЛАСТЬ")</f>
        <v>0</v>
      </c>
      <c r="Q33" s="198">
        <f>GETPIVOTDATA("Сумма по полю Сумма отклонения по дешкам задолженности на начало года",'[1]СВОД с расшиф'!$A$5,"Округ","СЗФО","Наименование территории","ВОЛОГОДСКАЯ ОБЛАСТЬ")</f>
        <v>0</v>
      </c>
      <c r="R33" s="198">
        <f>GETPIVOTDATA("Сумма по полю Повтороное отклонение по дешкам задолженности на начало года",'[1]СВОД с расшиф'!$A$5,"Округ","СЗФО","Наименование территории","ВОЛОГОДСКАЯ ОБЛАСТЬ")</f>
        <v>0</v>
      </c>
      <c r="S33" s="199">
        <f>GETPIVOTDATA("Сумма по полю Сумма отклонения по  выставленным счетам в отчетном периоде",'[1]СВОД с расшиф'!$A$5,"Округ","СЗФО","Наименование территории","ВОЛОГОДСКАЯ ОБЛАСТЬ")</f>
        <v>0</v>
      </c>
      <c r="T33" s="198">
        <f>GETPIVOTDATA("Сумма по полю Сумма отклонения по  выставленным счетам в отчетном периоде по дешкам",'[1]СВОД с расшиф'!$A$5,"Округ","СЗФО","Наименование территории","ВОЛОГОДСКАЯ ОБЛАСТЬ")</f>
        <v>0</v>
      </c>
      <c r="U33" s="198">
        <f>GETPIVOTDATA("Сумма по полю Повторное отклонение по дешкам отчетного периода",'[1]СВОД с расшиф'!$A$5,"Округ","СЗФО","Наименование территории","ВОЛОГОДСКАЯ ОБЛАСТЬ")</f>
        <v>0</v>
      </c>
      <c r="V33" s="198">
        <f>GETPIVOTDATA("Сумма по полю Сумма отклонения по  выставленным счетам за предыдущие периоды",'[1]СВОД с расшиф'!$A$5,"Округ","СЗФО","Наименование территории","ВОЛОГОДСКАЯ ОБЛАСТЬ")</f>
        <v>0</v>
      </c>
      <c r="W33" s="152">
        <f>GETPIVOTDATA("Сумма по полю Задолженность по счету",'[1]СВОД с расшиф'!$A$5,"Округ","СЗФО","Наименование территории","ВОЛОГОДСКАЯ ОБЛАСТЬ")</f>
        <v>24619.58</v>
      </c>
      <c r="X33" s="152">
        <f t="shared" si="2"/>
        <v>24619.58</v>
      </c>
      <c r="Y33" s="152">
        <f t="shared" si="3"/>
        <v>0</v>
      </c>
      <c r="Z33" s="152">
        <f t="shared" si="4"/>
        <v>24619.58</v>
      </c>
      <c r="AA33" s="152">
        <v>3247.16</v>
      </c>
      <c r="AB33" s="152">
        <f t="shared" si="5"/>
        <v>21372.420000000002</v>
      </c>
      <c r="AC33" s="152">
        <f t="shared" si="6"/>
        <v>24619.58</v>
      </c>
      <c r="AD33" s="152">
        <f t="shared" si="7"/>
        <v>0</v>
      </c>
    </row>
    <row r="34" spans="1:30">
      <c r="A34" s="131"/>
      <c r="B34" s="151" t="s">
        <v>22</v>
      </c>
      <c r="C34" s="198">
        <v>6751361.7699999996</v>
      </c>
      <c r="D34" s="198">
        <f>GETPIVOTDATA("Сумма по полю Сумма задолженности на начало года",'[1]СВОД с расшиф'!$A$5,"Округ","СЗФО","Наименование территории","Г.САНКТ-ПЕТЕРБУРГ")</f>
        <v>6751361.7699999996</v>
      </c>
      <c r="E34" s="152">
        <f t="shared" si="15"/>
        <v>11462399.799999999</v>
      </c>
      <c r="F34" s="198">
        <f>GETPIVOTDATA("Сумма по полю Сумма задолженности на начало года повторно выставленные",'[1]СВОД с расшиф'!$A$5,"Округ","СЗФО","Наименование территории","Г.САНКТ-ПЕТЕРБУРГ")</f>
        <v>0</v>
      </c>
      <c r="G34" s="199">
        <f>GETPIVOTDATA("Сумма по полю Сумма выставленного счета в отчетном периоде",'[1]СВОД с расшиф'!$A$5,"Округ","СЗФО","Наименование территории","Г.САНКТ-ПЕТЕРБУРГ")</f>
        <v>11462399.799999999</v>
      </c>
      <c r="H34" s="198">
        <f>GETPIVOTDATA("Сумма по полю Сумма повторно выставленного счета в отчетном периоде",'[1]СВОД с расшиф'!$A$5,"Округ","СЗФО","Наименование территории","Г.САНКТ-ПЕТЕРБУРГ")</f>
        <v>0</v>
      </c>
      <c r="I34" s="198">
        <f>GETPIVOTDATA("Сумма по полю Сумма выставленного за предыдущие периоды",'[1]СВОД с расшиф'!$A$5,"Округ","СЗФО","Наименование территории","Г.САНКТ-ПЕТЕРБУРГ")</f>
        <v>0</v>
      </c>
      <c r="J34" s="152">
        <f t="shared" si="8"/>
        <v>13485694.41</v>
      </c>
      <c r="K34" s="198">
        <f>GETPIVOTDATA("Сумма по полю Оплаченная сумма по задолженности на начало года",'[1]СВОД с расшиф'!$A$5,"Округ","СЗФО","Наименование территории","Г.САНКТ-ПЕТЕРБУРГ")</f>
        <v>6751361.7699999996</v>
      </c>
      <c r="L34" s="199">
        <f>GETPIVOTDATA("Сумма по полю Оплаченная сумма по  выставленным счетам в отчетном периоде",'[1]СВОД с расшиф'!$A$5,"Округ","СЗФО","Наименование территории","Г.САНКТ-ПЕТЕРБУРГ")</f>
        <v>6734332.6399999997</v>
      </c>
      <c r="M34" s="199">
        <f>GETPIVOTDATA("Сумма по полю Оплаченная сумма за предыдущие  периоды",'[1]СВОД с расшиф'!$A$5,"Округ","СЗФО","Наименование территории","Г.САНКТ-ПЕТЕРБУРГ")</f>
        <v>0</v>
      </c>
      <c r="N34" s="200">
        <f t="shared" si="1"/>
        <v>0</v>
      </c>
      <c r="O34" s="152">
        <f t="shared" si="16"/>
        <v>0</v>
      </c>
      <c r="P34" s="198">
        <f>GETPIVOTDATA("Сумма по полю Сумма отклонения по  счетам задолженности на начало года",'[1]СВОД с расшиф'!$A$5,"Округ","СЗФО","Наименование территории","Г.САНКТ-ПЕТЕРБУРГ")</f>
        <v>0</v>
      </c>
      <c r="Q34" s="198">
        <f>GETPIVOTDATA("Сумма по полю Сумма отклонения по дешкам задолженности на начало года",'[1]СВОД с расшиф'!$A$5,"Округ","СЗФО","Наименование территории","Г.САНКТ-ПЕТЕРБУРГ")</f>
        <v>0</v>
      </c>
      <c r="R34" s="198">
        <f>GETPIVOTDATA("Сумма по полю Повтороное отклонение по дешкам задолженности на начало года",'[1]СВОД с расшиф'!$A$5,"Округ","СЗФО","Наименование территории","Г.САНКТ-ПЕТЕРБУРГ")</f>
        <v>0</v>
      </c>
      <c r="S34" s="199">
        <f>GETPIVOTDATA("Сумма по полю Сумма отклонения по  выставленным счетам в отчетном периоде",'[1]СВОД с расшиф'!$A$5,"Округ","СЗФО","Наименование территории","Г.САНКТ-ПЕТЕРБУРГ")</f>
        <v>0</v>
      </c>
      <c r="T34" s="198">
        <f>GETPIVOTDATA("Сумма по полю Сумма отклонения по  выставленным счетам в отчетном периоде по дешкам",'[1]СВОД с расшиф'!$A$5,"Округ","СЗФО","Наименование территории","Г.САНКТ-ПЕТЕРБУРГ")</f>
        <v>0</v>
      </c>
      <c r="U34" s="198">
        <f>GETPIVOTDATA("Сумма по полю Повторное отклонение по дешкам отчетного периода",'[1]СВОД с расшиф'!$A$5,"Округ","СЗФО","Наименование территории","Г.САНКТ-ПЕТЕРБУРГ")</f>
        <v>0</v>
      </c>
      <c r="V34" s="198">
        <f>GETPIVOTDATA("Сумма по полю Сумма отклонения по  выставленным счетам за предыдущие периоды",'[1]СВОД с расшиф'!$A$5,"Округ","СЗФО","Наименование территории","Г.САНКТ-ПЕТЕРБУРГ")</f>
        <v>0</v>
      </c>
      <c r="W34" s="152">
        <f>GETPIVOTDATA("Сумма по полю Задолженность по счету",'[1]СВОД с расшиф'!$A$5,"Округ","СЗФО","Наименование территории","Г.САНКТ-ПЕТЕРБУРГ")</f>
        <v>4728067.16</v>
      </c>
      <c r="X34" s="152">
        <f t="shared" si="2"/>
        <v>4728067.16</v>
      </c>
      <c r="Y34" s="152">
        <f t="shared" si="3"/>
        <v>0</v>
      </c>
      <c r="Z34" s="152">
        <f t="shared" si="4"/>
        <v>4728067.16</v>
      </c>
      <c r="AA34" s="152">
        <v>5554042.089999998</v>
      </c>
      <c r="AB34" s="152">
        <f t="shared" si="5"/>
        <v>-825974.92999999784</v>
      </c>
      <c r="AC34" s="152">
        <f t="shared" si="6"/>
        <v>4728067.1600000011</v>
      </c>
      <c r="AD34" s="152">
        <f t="shared" si="7"/>
        <v>0</v>
      </c>
    </row>
    <row r="35" spans="1:30">
      <c r="A35" s="131"/>
      <c r="B35" s="151" t="s">
        <v>23</v>
      </c>
      <c r="C35" s="198">
        <v>0</v>
      </c>
      <c r="D35" s="198">
        <f>GETPIVOTDATA("Сумма по полю Сумма задолженности на начало года",'[1]СВОД с расшиф'!$A$5,"Округ","СЗФО","Наименование территории","КАЛИНИНГРАДСКАЯ ОБЛАСТЬ")</f>
        <v>0</v>
      </c>
      <c r="E35" s="152">
        <f t="shared" si="15"/>
        <v>21451.78</v>
      </c>
      <c r="F35" s="198">
        <f>GETPIVOTDATA("Сумма по полю Сумма задолженности на начало года повторно выставленные",'[1]СВОД с расшиф'!$A$5,"Округ","СЗФО","Наименование территории","КАЛИНИНГРАДСКАЯ ОБЛАСТЬ")</f>
        <v>0</v>
      </c>
      <c r="G35" s="199">
        <f>GETPIVOTDATA("Сумма по полю Сумма выставленного счета в отчетном периоде",'[1]СВОД с расшиф'!$A$5,"Округ","СЗФО","Наименование территории","КАЛИНИНГРАДСКАЯ ОБЛАСТЬ")</f>
        <v>21451.78</v>
      </c>
      <c r="H35" s="198">
        <f>GETPIVOTDATA("Сумма по полю Сумма повторно выставленного счета в отчетном периоде",'[1]СВОД с расшиф'!$A$5,"Округ","СЗФО","Наименование территории","КАЛИНИНГРАДСКАЯ ОБЛАСТЬ")</f>
        <v>0</v>
      </c>
      <c r="I35" s="198">
        <f>GETPIVOTDATA("Сумма по полю Сумма выставленного за предыдущие периоды",'[1]СВОД с расшиф'!$A$5,"Округ","СЗФО","Наименование территории","КАЛИНИНГРАДСКАЯ ОБЛАСТЬ")</f>
        <v>0</v>
      </c>
      <c r="J35" s="152">
        <f t="shared" si="8"/>
        <v>12815.81</v>
      </c>
      <c r="K35" s="198">
        <f>GETPIVOTDATA("Сумма по полю Оплаченная сумма по задолженности на начало года",'[1]СВОД с расшиф'!$A$5,"Округ","СЗФО","Наименование территории","КАЛИНИНГРАДСКАЯ ОБЛАСТЬ")</f>
        <v>0</v>
      </c>
      <c r="L35" s="199">
        <f>GETPIVOTDATA("Сумма по полю Оплаченная сумма по  выставленным счетам в отчетном периоде",'[1]СВОД с расшиф'!$A$5,"Округ","СЗФО","Наименование территории","КАЛИНИНГРАДСКАЯ ОБЛАСТЬ")</f>
        <v>12815.81</v>
      </c>
      <c r="M35" s="199">
        <f>GETPIVOTDATA("Сумма по полю Оплаченная сумма за предыдущие  периоды",'[1]СВОД с расшиф'!$A$5,"Округ","СЗФО","Наименование территории","КАЛИНИНГРАДСКАЯ ОБЛАСТЬ")</f>
        <v>0</v>
      </c>
      <c r="N35" s="200">
        <f t="shared" si="1"/>
        <v>0</v>
      </c>
      <c r="O35" s="152">
        <f t="shared" si="16"/>
        <v>0</v>
      </c>
      <c r="P35" s="198">
        <f>GETPIVOTDATA("Сумма по полю Сумма отклонения по  счетам задолженности на начало года",'[1]СВОД с расшиф'!$A$5,"Округ","СЗФО","Наименование территории","КАЛИНИНГРАДСКАЯ ОБЛАСТЬ")</f>
        <v>0</v>
      </c>
      <c r="Q35" s="198">
        <f>GETPIVOTDATA("Сумма по полю Сумма отклонения по дешкам задолженности на начало года",'[1]СВОД с расшиф'!$A$5,"Округ","СЗФО","Наименование территории","КАЛИНИНГРАДСКАЯ ОБЛАСТЬ")</f>
        <v>0</v>
      </c>
      <c r="R35" s="198">
        <f>GETPIVOTDATA("Сумма по полю Повтороное отклонение по дешкам задолженности на начало года",'[1]СВОД с расшиф'!$A$5,"Округ","СЗФО","Наименование территории","КАЛИНИНГРАДСКАЯ ОБЛАСТЬ")</f>
        <v>0</v>
      </c>
      <c r="S35" s="199">
        <f>GETPIVOTDATA("Сумма по полю Сумма отклонения по  выставленным счетам в отчетном периоде",'[1]СВОД с расшиф'!$A$5,"Округ","СЗФО","Наименование территории","КАЛИНИНГРАДСКАЯ ОБЛАСТЬ")</f>
        <v>0</v>
      </c>
      <c r="T35" s="198">
        <f>GETPIVOTDATA("Сумма по полю Сумма отклонения по  выставленным счетам в отчетном периоде по дешкам",'[1]СВОД с расшиф'!$A$5,"Округ","СЗФО","Наименование территории","КАЛИНИНГРАДСКАЯ ОБЛАСТЬ")</f>
        <v>0</v>
      </c>
      <c r="U35" s="198">
        <f>GETPIVOTDATA("Сумма по полю Повторное отклонение по дешкам отчетного периода",'[1]СВОД с расшиф'!$A$5,"Округ","СЗФО","Наименование территории","КАЛИНИНГРАДСКАЯ ОБЛАСТЬ")</f>
        <v>0</v>
      </c>
      <c r="V35" s="198">
        <f>GETPIVOTDATA("Сумма по полю Сумма отклонения по  выставленным счетам за предыдущие периоды",'[1]СВОД с расшиф'!$A$5,"Округ","СЗФО","Наименование территории","КАЛИНИНГРАДСКАЯ ОБЛАСТЬ")</f>
        <v>0</v>
      </c>
      <c r="W35" s="152">
        <f>GETPIVOTDATA("Сумма по полю Задолженность по счету",'[1]СВОД с расшиф'!$A$5,"Округ","СЗФО","Наименование территории","КАЛИНИНГРАДСКАЯ ОБЛАСТЬ")</f>
        <v>8635.9699999999993</v>
      </c>
      <c r="X35" s="152">
        <f t="shared" si="2"/>
        <v>8635.9699999999993</v>
      </c>
      <c r="Y35" s="152">
        <f t="shared" si="3"/>
        <v>0</v>
      </c>
      <c r="Z35" s="152">
        <f t="shared" si="4"/>
        <v>8635.9699999999993</v>
      </c>
      <c r="AA35" s="152">
        <v>5584.4599999999973</v>
      </c>
      <c r="AB35" s="152">
        <f t="shared" si="5"/>
        <v>3051.510000000002</v>
      </c>
      <c r="AC35" s="152">
        <f t="shared" si="6"/>
        <v>8635.9699999999993</v>
      </c>
      <c r="AD35" s="152">
        <f t="shared" si="7"/>
        <v>0</v>
      </c>
    </row>
    <row r="36" spans="1:30">
      <c r="A36" s="131"/>
      <c r="B36" s="151" t="s">
        <v>24</v>
      </c>
      <c r="C36" s="198">
        <v>40337.11</v>
      </c>
      <c r="D36" s="198">
        <f>GETPIVOTDATA("Сумма по полю Сумма задолженности на начало года",'[1]СВОД с расшиф'!$A$5,"Округ","СЗФО","Наименование территории","ЛЕНИНГРАДСКАЯ ОБЛАСТЬ")</f>
        <v>40337.11</v>
      </c>
      <c r="E36" s="152">
        <f t="shared" si="15"/>
        <v>378849.45999999996</v>
      </c>
      <c r="F36" s="198">
        <f>GETPIVOTDATA("Сумма по полю Сумма задолженности на начало года повторно выставленные",'[1]СВОД с расшиф'!$A$5,"Округ","СЗФО","Наименование территории","ЛЕНИНГРАДСКАЯ ОБЛАСТЬ")</f>
        <v>0</v>
      </c>
      <c r="G36" s="199">
        <f>GETPIVOTDATA("Сумма по полю Сумма выставленного счета в отчетном периоде",'[1]СВОД с расшиф'!$A$5,"Округ","СЗФО","Наименование территории","ЛЕНИНГРАДСКАЯ ОБЛАСТЬ")</f>
        <v>378849.45999999996</v>
      </c>
      <c r="H36" s="198">
        <f>GETPIVOTDATA("Сумма по полю Сумма повторно выставленного счета в отчетном периоде",'[1]СВОД с расшиф'!$A$5,"Округ","СЗФО","Наименование территории","ЛЕНИНГРАДСКАЯ ОБЛАСТЬ")</f>
        <v>0</v>
      </c>
      <c r="I36" s="198">
        <f>GETPIVOTDATA("Сумма по полю Сумма выставленного за предыдущие периоды",'[1]СВОД с расшиф'!$A$5,"Округ","СЗФО","Наименование территории","ЛЕНИНГРАДСКАЯ ОБЛАСТЬ")</f>
        <v>0</v>
      </c>
      <c r="J36" s="152">
        <f t="shared" si="8"/>
        <v>339811.52999999997</v>
      </c>
      <c r="K36" s="198">
        <f>GETPIVOTDATA("Сумма по полю Оплаченная сумма по задолженности на начало года",'[1]СВОД с расшиф'!$A$5,"Округ","СЗФО","Наименование территории","ЛЕНИНГРАДСКАЯ ОБЛАСТЬ")</f>
        <v>40337.11</v>
      </c>
      <c r="L36" s="199">
        <f>GETPIVOTDATA("Сумма по полю Оплаченная сумма по  выставленным счетам в отчетном периоде",'[1]СВОД с расшиф'!$A$5,"Округ","СЗФО","Наименование территории","ЛЕНИНГРАДСКАЯ ОБЛАСТЬ")</f>
        <v>299474.42</v>
      </c>
      <c r="M36" s="199">
        <f>GETPIVOTDATA("Сумма по полю Оплаченная сумма за предыдущие  периоды",'[1]СВОД с расшиф'!$A$5,"Округ","СЗФО","Наименование территории","ЛЕНИНГРАДСКАЯ ОБЛАСТЬ")</f>
        <v>0</v>
      </c>
      <c r="N36" s="200">
        <f t="shared" si="1"/>
        <v>0</v>
      </c>
      <c r="O36" s="152">
        <f t="shared" si="16"/>
        <v>0</v>
      </c>
      <c r="P36" s="198">
        <f>GETPIVOTDATA("Сумма по полю Сумма отклонения по  счетам задолженности на начало года",'[1]СВОД с расшиф'!$A$5,"Округ","СЗФО","Наименование территории","ЛЕНИНГРАДСКАЯ ОБЛАСТЬ")</f>
        <v>0</v>
      </c>
      <c r="Q36" s="198">
        <f>GETPIVOTDATA("Сумма по полю Сумма отклонения по дешкам задолженности на начало года",'[1]СВОД с расшиф'!$A$5,"Округ","СЗФО","Наименование территории","ЛЕНИНГРАДСКАЯ ОБЛАСТЬ")</f>
        <v>0</v>
      </c>
      <c r="R36" s="198">
        <f>GETPIVOTDATA("Сумма по полю Повтороное отклонение по дешкам задолженности на начало года",'[1]СВОД с расшиф'!$A$5,"Округ","СЗФО","Наименование территории","ЛЕНИНГРАДСКАЯ ОБЛАСТЬ")</f>
        <v>0</v>
      </c>
      <c r="S36" s="199">
        <f>GETPIVOTDATA("Сумма по полю Сумма отклонения по  выставленным счетам в отчетном периоде",'[1]СВОД с расшиф'!$A$5,"Округ","СЗФО","Наименование территории","ЛЕНИНГРАДСКАЯ ОБЛАСТЬ")</f>
        <v>0</v>
      </c>
      <c r="T36" s="198">
        <f>GETPIVOTDATA("Сумма по полю Сумма отклонения по  выставленным счетам в отчетном периоде по дешкам",'[1]СВОД с расшиф'!$A$5,"Округ","СЗФО","Наименование территории","ЛЕНИНГРАДСКАЯ ОБЛАСТЬ")</f>
        <v>0</v>
      </c>
      <c r="U36" s="198">
        <f>GETPIVOTDATA("Сумма по полю Повторное отклонение по дешкам отчетного периода",'[1]СВОД с расшиф'!$A$5,"Округ","СЗФО","Наименование территории","ЛЕНИНГРАДСКАЯ ОБЛАСТЬ")</f>
        <v>0</v>
      </c>
      <c r="V36" s="198">
        <f>GETPIVOTDATA("Сумма по полю Сумма отклонения по  выставленным счетам за предыдущие периоды",'[1]СВОД с расшиф'!$A$5,"Округ","СЗФО","Наименование территории","ЛЕНИНГРАДСКАЯ ОБЛАСТЬ")</f>
        <v>0</v>
      </c>
      <c r="W36" s="152">
        <f>GETPIVOTDATA("Сумма по полю Задолженность по счету",'[1]СВОД с расшиф'!$A$5,"Округ","СЗФО","Наименование территории","ЛЕНИНГРАДСКАЯ ОБЛАСТЬ")</f>
        <v>79375.039999999994</v>
      </c>
      <c r="X36" s="152">
        <f t="shared" si="2"/>
        <v>79375.039999999979</v>
      </c>
      <c r="Y36" s="152">
        <f t="shared" si="3"/>
        <v>0</v>
      </c>
      <c r="Z36" s="152">
        <f t="shared" si="4"/>
        <v>79375.039999999979</v>
      </c>
      <c r="AA36" s="152">
        <v>50892.329999999885</v>
      </c>
      <c r="AB36" s="152">
        <f t="shared" si="5"/>
        <v>28482.710000000094</v>
      </c>
      <c r="AC36" s="152">
        <f t="shared" si="6"/>
        <v>79375.039999999979</v>
      </c>
      <c r="AD36" s="152">
        <f t="shared" si="7"/>
        <v>0</v>
      </c>
    </row>
    <row r="37" spans="1:30">
      <c r="A37" s="131"/>
      <c r="B37" s="151" t="s">
        <v>25</v>
      </c>
      <c r="C37" s="198">
        <v>0</v>
      </c>
      <c r="D37" s="198">
        <f>GETPIVOTDATA("Сумма по полю Сумма задолженности на начало года",'[1]СВОД с расшиф'!$A$5,"Округ","СЗФО","Наименование территории","МУРМАНСКАЯ ОБЛАСТЬ")</f>
        <v>0</v>
      </c>
      <c r="E37" s="152">
        <f t="shared" si="15"/>
        <v>56436.36</v>
      </c>
      <c r="F37" s="198">
        <f>GETPIVOTDATA("Сумма по полю Сумма задолженности на начало года повторно выставленные",'[1]СВОД с расшиф'!$A$5,"Округ","СЗФО","Наименование территории","МУРМАНСКАЯ ОБЛАСТЬ")</f>
        <v>0</v>
      </c>
      <c r="G37" s="199">
        <f>GETPIVOTDATA("Сумма по полю Сумма выставленного счета в отчетном периоде",'[1]СВОД с расшиф'!$A$5,"Округ","СЗФО","Наименование территории","МУРМАНСКАЯ ОБЛАСТЬ")</f>
        <v>56436.36</v>
      </c>
      <c r="H37" s="198">
        <f>GETPIVOTDATA("Сумма по полю Сумма повторно выставленного счета в отчетном периоде",'[1]СВОД с расшиф'!$A$5,"Округ","СЗФО","Наименование территории","МУРМАНСКАЯ ОБЛАСТЬ")</f>
        <v>0</v>
      </c>
      <c r="I37" s="198">
        <f>GETPIVOTDATA("Сумма по полю Сумма выставленного за предыдущие периоды",'[1]СВОД с расшиф'!$A$5,"Округ","СЗФО","Наименование территории","МУРМАНСКАЯ ОБЛАСТЬ")</f>
        <v>0</v>
      </c>
      <c r="J37" s="152">
        <f t="shared" si="8"/>
        <v>34953.56</v>
      </c>
      <c r="K37" s="198">
        <f>GETPIVOTDATA("Сумма по полю Оплаченная сумма по задолженности на начало года",'[1]СВОД с расшиф'!$A$5,"Округ","СЗФО","Наименование территории","МУРМАНСКАЯ ОБЛАСТЬ")</f>
        <v>0</v>
      </c>
      <c r="L37" s="199">
        <f>GETPIVOTDATA("Сумма по полю Оплаченная сумма по  выставленным счетам в отчетном периоде",'[1]СВОД с расшиф'!$A$5,"Округ","СЗФО","Наименование территории","МУРМАНСКАЯ ОБЛАСТЬ")</f>
        <v>34953.56</v>
      </c>
      <c r="M37" s="199">
        <f>GETPIVOTDATA("Сумма по полю Оплаченная сумма за предыдущие  периоды",'[1]СВОД с расшиф'!$A$5,"Округ","СЗФО","Наименование территории","МУРМАНСКАЯ ОБЛАСТЬ")</f>
        <v>0</v>
      </c>
      <c r="N37" s="200">
        <f t="shared" si="1"/>
        <v>0</v>
      </c>
      <c r="O37" s="152">
        <f t="shared" si="16"/>
        <v>0</v>
      </c>
      <c r="P37" s="198">
        <f>GETPIVOTDATA("Сумма по полю Сумма отклонения по  счетам задолженности на начало года",'[1]СВОД с расшиф'!$A$5,"Округ","СЗФО","Наименование территории","МУРМАНСКАЯ ОБЛАСТЬ")</f>
        <v>0</v>
      </c>
      <c r="Q37" s="198">
        <f>GETPIVOTDATA("Сумма по полю Сумма отклонения по дешкам задолженности на начало года",'[1]СВОД с расшиф'!$A$5,"Округ","СЗФО","Наименование территории","МУРМАНСКАЯ ОБЛАСТЬ")</f>
        <v>0</v>
      </c>
      <c r="R37" s="198">
        <f>GETPIVOTDATA("Сумма по полю Повтороное отклонение по дешкам задолженности на начало года",'[1]СВОД с расшиф'!$A$5,"Округ","СЗФО","Наименование территории","МУРМАНСКАЯ ОБЛАСТЬ")</f>
        <v>0</v>
      </c>
      <c r="S37" s="199">
        <f>GETPIVOTDATA("Сумма по полю Сумма отклонения по  выставленным счетам в отчетном периоде",'[1]СВОД с расшиф'!$A$5,"Округ","СЗФО","Наименование территории","МУРМАНСКАЯ ОБЛАСТЬ")</f>
        <v>0</v>
      </c>
      <c r="T37" s="198">
        <f>GETPIVOTDATA("Сумма по полю Сумма отклонения по  выставленным счетам в отчетном периоде по дешкам",'[1]СВОД с расшиф'!$A$5,"Округ","СЗФО","Наименование территории","МУРМАНСКАЯ ОБЛАСТЬ")</f>
        <v>0</v>
      </c>
      <c r="U37" s="198">
        <f>GETPIVOTDATA("Сумма по полю Повторное отклонение по дешкам отчетного периода",'[1]СВОД с расшиф'!$A$5,"Округ","СЗФО","Наименование территории","МУРМАНСКАЯ ОБЛАСТЬ")</f>
        <v>0</v>
      </c>
      <c r="V37" s="198">
        <f>GETPIVOTDATA("Сумма по полю Сумма отклонения по  выставленным счетам за предыдущие периоды",'[1]СВОД с расшиф'!$A$5,"Округ","СЗФО","Наименование территории","МУРМАНСКАЯ ОБЛАСТЬ")</f>
        <v>0</v>
      </c>
      <c r="W37" s="152">
        <f>GETPIVOTDATA("Сумма по полю Задолженность по счету",'[1]СВОД с расшиф'!$A$5,"Округ","СЗФО","Наименование территории","МУРМАНСКАЯ ОБЛАСТЬ")</f>
        <v>21482.799999999999</v>
      </c>
      <c r="X37" s="152">
        <f t="shared" si="2"/>
        <v>21482.800000000003</v>
      </c>
      <c r="Y37" s="152">
        <f t="shared" si="3"/>
        <v>0</v>
      </c>
      <c r="Z37" s="152">
        <f t="shared" si="4"/>
        <v>21482.800000000003</v>
      </c>
      <c r="AA37" s="152">
        <v>368972.65</v>
      </c>
      <c r="AB37" s="152">
        <f t="shared" si="5"/>
        <v>-347489.85000000003</v>
      </c>
      <c r="AC37" s="152">
        <f t="shared" si="6"/>
        <v>21482.800000000003</v>
      </c>
      <c r="AD37" s="152">
        <f t="shared" si="7"/>
        <v>0</v>
      </c>
    </row>
    <row r="38" spans="1:30">
      <c r="A38" s="131"/>
      <c r="B38" s="151" t="s">
        <v>26</v>
      </c>
      <c r="C38" s="198">
        <v>0</v>
      </c>
      <c r="D38" s="198">
        <f>GETPIVOTDATA("Сумма по полю Сумма задолженности на начало года",'[1]СВОД с расшиф'!$A$5,"Округ","СЗФО","Наименование территории","НЕНЕЦКИЙ АО")</f>
        <v>0</v>
      </c>
      <c r="E38" s="152">
        <f t="shared" si="15"/>
        <v>0</v>
      </c>
      <c r="F38" s="198">
        <f>GETPIVOTDATA("Сумма по полю Сумма задолженности на начало года повторно выставленные",'[1]СВОД с расшиф'!$A$5,"Округ","СЗФО","Наименование территории","НЕНЕЦКИЙ АО")</f>
        <v>0</v>
      </c>
      <c r="G38" s="199">
        <f>GETPIVOTDATA("Сумма по полю Сумма выставленного счета в отчетном периоде",'[1]СВОД с расшиф'!$A$5,"Округ","СЗФО","Наименование территории","НЕНЕЦКИЙ АО")</f>
        <v>0</v>
      </c>
      <c r="H38" s="198">
        <f>GETPIVOTDATA("Сумма по полю Сумма повторно выставленного счета в отчетном периоде",'[1]СВОД с расшиф'!$A$5,"Округ","СЗФО","Наименование территории","НЕНЕЦКИЙ АО")</f>
        <v>0</v>
      </c>
      <c r="I38" s="198">
        <f>GETPIVOTDATA("Сумма по полю Сумма выставленного за предыдущие периоды",'[1]СВОД с расшиф'!$A$5,"Округ","СЗФО","Наименование территории","НЕНЕЦКИЙ АО")</f>
        <v>0</v>
      </c>
      <c r="J38" s="152">
        <f t="shared" si="8"/>
        <v>0</v>
      </c>
      <c r="K38" s="198">
        <f>GETPIVOTDATA("Сумма по полю Оплаченная сумма по задолженности на начало года",'[1]СВОД с расшиф'!$A$5,"Округ","СЗФО","Наименование территории","НЕНЕЦКИЙ АО")</f>
        <v>0</v>
      </c>
      <c r="L38" s="199">
        <f>GETPIVOTDATA("Сумма по полю Оплаченная сумма по  выставленным счетам в отчетном периоде",'[1]СВОД с расшиф'!$A$5,"Округ","СЗФО","Наименование территории","НЕНЕЦКИЙ АО")</f>
        <v>0</v>
      </c>
      <c r="M38" s="199">
        <f>GETPIVOTDATA("Сумма по полю Оплаченная сумма за предыдущие  периоды",'[1]СВОД с расшиф'!$A$5,"Округ","СЗФО","Наименование территории","НЕНЕЦКИЙ АО")</f>
        <v>0</v>
      </c>
      <c r="N38" s="200">
        <f t="shared" si="1"/>
        <v>0</v>
      </c>
      <c r="O38" s="152">
        <f t="shared" si="16"/>
        <v>0</v>
      </c>
      <c r="P38" s="198">
        <f>GETPIVOTDATA("Сумма по полю Сумма отклонения по  счетам задолженности на начало года",'[1]СВОД с расшиф'!$A$5,"Округ","СЗФО","Наименование территории","НЕНЕЦКИЙ АО")</f>
        <v>0</v>
      </c>
      <c r="Q38" s="198">
        <f>GETPIVOTDATA("Сумма по полю Сумма отклонения по дешкам задолженности на начало года",'[1]СВОД с расшиф'!$A$5,"Округ","СЗФО","Наименование территории","НЕНЕЦКИЙ АО")</f>
        <v>0</v>
      </c>
      <c r="R38" s="198">
        <f>GETPIVOTDATA("Сумма по полю Повтороное отклонение по дешкам задолженности на начало года",'[1]СВОД с расшиф'!$A$5,"Округ","СЗФО","Наименование территории","НЕНЕЦКИЙ АО")</f>
        <v>0</v>
      </c>
      <c r="S38" s="199">
        <f>GETPIVOTDATA("Сумма по полю Сумма отклонения по  выставленным счетам в отчетном периоде",'[1]СВОД с расшиф'!$A$5,"Округ","СЗФО","Наименование территории","НЕНЕЦКИЙ АО")</f>
        <v>0</v>
      </c>
      <c r="T38" s="198">
        <f>GETPIVOTDATA("Сумма по полю Сумма отклонения по  выставленным счетам в отчетном периоде по дешкам",'[1]СВОД с расшиф'!$A$5,"Округ","СЗФО","Наименование территории","НЕНЕЦКИЙ АО")</f>
        <v>0</v>
      </c>
      <c r="U38" s="198">
        <f>GETPIVOTDATA("Сумма по полю Повторное отклонение по дешкам отчетного периода",'[1]СВОД с расшиф'!$A$5,"Округ","СЗФО","Наименование территории","НЕНЕЦКИЙ АО")</f>
        <v>0</v>
      </c>
      <c r="V38" s="198">
        <f>GETPIVOTDATA("Сумма по полю Сумма отклонения по  выставленным счетам за предыдущие периоды",'[1]СВОД с расшиф'!$A$5,"Округ","СЗФО","Наименование территории","НЕНЕЦКИЙ АО")</f>
        <v>0</v>
      </c>
      <c r="W38" s="152">
        <f>GETPIVOTDATA("Сумма по полю Задолженность по счету",'[1]СВОД с расшиф'!$A$5,"Округ","СЗФО","Наименование территории","НЕНЕЦКИЙ АО")</f>
        <v>0</v>
      </c>
      <c r="X38" s="152">
        <f t="shared" si="2"/>
        <v>0</v>
      </c>
      <c r="Y38" s="152">
        <f t="shared" si="3"/>
        <v>0</v>
      </c>
      <c r="Z38" s="152">
        <f t="shared" si="4"/>
        <v>0</v>
      </c>
      <c r="AA38" s="152">
        <v>11665.1</v>
      </c>
      <c r="AB38" s="152">
        <f t="shared" si="5"/>
        <v>-11665.1</v>
      </c>
      <c r="AC38" s="152">
        <f t="shared" si="6"/>
        <v>0</v>
      </c>
      <c r="AD38" s="152">
        <f t="shared" si="7"/>
        <v>0</v>
      </c>
    </row>
    <row r="39" spans="1:30">
      <c r="A39" s="131"/>
      <c r="B39" s="151" t="s">
        <v>27</v>
      </c>
      <c r="C39" s="198">
        <v>35695.57</v>
      </c>
      <c r="D39" s="198">
        <f>GETPIVOTDATA("Сумма по полю Сумма задолженности на начало года",'[1]СВОД с расшиф'!$A$5,"Округ","СЗФО","Наименование территории","НОВГОРОДСКАЯ ОБЛАСТЬ")</f>
        <v>35695.57</v>
      </c>
      <c r="E39" s="152">
        <f t="shared" si="15"/>
        <v>93195.34</v>
      </c>
      <c r="F39" s="198">
        <f>GETPIVOTDATA("Сумма по полю Сумма задолженности на начало года повторно выставленные",'[1]СВОД с расшиф'!$A$5,"Округ","СЗФО","Наименование территории","НОВГОРОДСКАЯ ОБЛАСТЬ")</f>
        <v>0</v>
      </c>
      <c r="G39" s="199">
        <f>GETPIVOTDATA("Сумма по полю Сумма выставленного счета в отчетном периоде",'[1]СВОД с расшиф'!$A$5,"Округ","СЗФО","Наименование территории","НОВГОРОДСКАЯ ОБЛАСТЬ")</f>
        <v>93195.34</v>
      </c>
      <c r="H39" s="198">
        <f>GETPIVOTDATA("Сумма по полю Сумма повторно выставленного счета в отчетном периоде",'[1]СВОД с расшиф'!$A$5,"Округ","СЗФО","Наименование территории","НОВГОРОДСКАЯ ОБЛАСТЬ")</f>
        <v>0</v>
      </c>
      <c r="I39" s="198">
        <f>GETPIVOTDATA("Сумма по полю Сумма выставленного за предыдущие периоды",'[1]СВОД с расшиф'!$A$5,"Округ","СЗФО","Наименование территории","НОВГОРОДСКАЯ ОБЛАСТЬ")</f>
        <v>0</v>
      </c>
      <c r="J39" s="152">
        <f t="shared" si="8"/>
        <v>128890.91</v>
      </c>
      <c r="K39" s="198">
        <f>GETPIVOTDATA("Сумма по полю Оплаченная сумма по задолженности на начало года",'[1]СВОД с расшиф'!$A$5,"Округ","СЗФО","Наименование территории","НОВГОРОДСКАЯ ОБЛАСТЬ")</f>
        <v>35695.57</v>
      </c>
      <c r="L39" s="199">
        <f>GETPIVOTDATA("Сумма по полю Оплаченная сумма по  выставленным счетам в отчетном периоде",'[1]СВОД с расшиф'!$A$5,"Округ","СЗФО","Наименование территории","НОВГОРОДСКАЯ ОБЛАСТЬ")</f>
        <v>93195.34</v>
      </c>
      <c r="M39" s="199">
        <f>GETPIVOTDATA("Сумма по полю Оплаченная сумма за предыдущие  периоды",'[1]СВОД с расшиф'!$A$5,"Округ","СЗФО","Наименование территории","НОВГОРОДСКАЯ ОБЛАСТЬ")</f>
        <v>0</v>
      </c>
      <c r="N39" s="200">
        <f t="shared" si="1"/>
        <v>0</v>
      </c>
      <c r="O39" s="152">
        <f t="shared" si="16"/>
        <v>0</v>
      </c>
      <c r="P39" s="198">
        <f>GETPIVOTDATA("Сумма по полю Сумма отклонения по  счетам задолженности на начало года",'[1]СВОД с расшиф'!$A$5,"Округ","СЗФО","Наименование территории","НОВГОРОДСКАЯ ОБЛАСТЬ")</f>
        <v>0</v>
      </c>
      <c r="Q39" s="198">
        <f>GETPIVOTDATA("Сумма по полю Сумма отклонения по дешкам задолженности на начало года",'[1]СВОД с расшиф'!$A$5,"Округ","СЗФО","Наименование территории","НОВГОРОДСКАЯ ОБЛАСТЬ")</f>
        <v>0</v>
      </c>
      <c r="R39" s="198">
        <f>GETPIVOTDATA("Сумма по полю Повтороное отклонение по дешкам задолженности на начало года",'[1]СВОД с расшиф'!$A$5,"Округ","СЗФО","Наименование территории","НОВГОРОДСКАЯ ОБЛАСТЬ")</f>
        <v>0</v>
      </c>
      <c r="S39" s="199">
        <f>GETPIVOTDATA("Сумма по полю Сумма отклонения по  выставленным счетам в отчетном периоде",'[1]СВОД с расшиф'!$A$5,"Округ","СЗФО","Наименование территории","НОВГОРОДСКАЯ ОБЛАСТЬ")</f>
        <v>0</v>
      </c>
      <c r="T39" s="198">
        <f>GETPIVOTDATA("Сумма по полю Сумма отклонения по  выставленным счетам в отчетном периоде по дешкам",'[1]СВОД с расшиф'!$A$5,"Округ","СЗФО","Наименование территории","НОВГОРОДСКАЯ ОБЛАСТЬ")</f>
        <v>0</v>
      </c>
      <c r="U39" s="198">
        <f>GETPIVOTDATA("Сумма по полю Повторное отклонение по дешкам отчетного периода",'[1]СВОД с расшиф'!$A$5,"Округ","СЗФО","Наименование территории","НОВГОРОДСКАЯ ОБЛАСТЬ")</f>
        <v>0</v>
      </c>
      <c r="V39" s="198">
        <f>GETPIVOTDATA("Сумма по полю Сумма отклонения по  выставленным счетам за предыдущие периоды",'[1]СВОД с расшиф'!$A$5,"Округ","СЗФО","Наименование территории","НОВГОРОДСКАЯ ОБЛАСТЬ")</f>
        <v>0</v>
      </c>
      <c r="W39" s="152">
        <f>GETPIVOTDATA("Сумма по полю Задолженность по счету",'[1]СВОД с расшиф'!$A$5,"Округ","СЗФО","Наименование территории","НОВГОРОДСКАЯ ОБЛАСТЬ")</f>
        <v>0</v>
      </c>
      <c r="X39" s="152">
        <f t="shared" si="2"/>
        <v>0</v>
      </c>
      <c r="Y39" s="152">
        <f t="shared" si="3"/>
        <v>0</v>
      </c>
      <c r="Z39" s="152">
        <f t="shared" si="4"/>
        <v>0</v>
      </c>
      <c r="AA39" s="152">
        <v>0</v>
      </c>
      <c r="AB39" s="152">
        <f t="shared" si="5"/>
        <v>0</v>
      </c>
      <c r="AC39" s="152">
        <f t="shared" si="6"/>
        <v>0</v>
      </c>
      <c r="AD39" s="152">
        <f t="shared" si="7"/>
        <v>0</v>
      </c>
    </row>
    <row r="40" spans="1:30">
      <c r="A40" s="131"/>
      <c r="B40" s="151" t="s">
        <v>28</v>
      </c>
      <c r="C40" s="198">
        <v>0</v>
      </c>
      <c r="D40" s="198">
        <f>GETPIVOTDATA("Сумма по полю Сумма задолженности на начало года",'[1]СВОД с расшиф'!$A$5,"Округ","СЗФО","Наименование территории","ПСКОВСКАЯ ОБЛАСТЬ")</f>
        <v>0</v>
      </c>
      <c r="E40" s="152">
        <f t="shared" si="15"/>
        <v>86256.200000000012</v>
      </c>
      <c r="F40" s="198">
        <f>GETPIVOTDATA("Сумма по полю Сумма задолженности на начало года повторно выставленные",'[1]СВОД с расшиф'!$A$5,"Округ","СЗФО","Наименование территории","ПСКОВСКАЯ ОБЛАСТЬ")</f>
        <v>0</v>
      </c>
      <c r="G40" s="199">
        <f>GETPIVOTDATA("Сумма по полю Сумма выставленного счета в отчетном периоде",'[1]СВОД с расшиф'!$A$5,"Округ","СЗФО","Наименование территории","ПСКОВСКАЯ ОБЛАСТЬ")</f>
        <v>86256.200000000012</v>
      </c>
      <c r="H40" s="198">
        <f>GETPIVOTDATA("Сумма по полю Сумма повторно выставленного счета в отчетном периоде",'[1]СВОД с расшиф'!$A$5,"Округ","СЗФО","Наименование территории","ПСКОВСКАЯ ОБЛАСТЬ")</f>
        <v>0</v>
      </c>
      <c r="I40" s="198">
        <f>GETPIVOTDATA("Сумма по полю Сумма выставленного за предыдущие периоды",'[1]СВОД с расшиф'!$A$5,"Округ","СЗФО","Наименование территории","ПСКОВСКАЯ ОБЛАСТЬ")</f>
        <v>0</v>
      </c>
      <c r="J40" s="152">
        <f t="shared" si="8"/>
        <v>38120.83</v>
      </c>
      <c r="K40" s="198">
        <f>GETPIVOTDATA("Сумма по полю Оплаченная сумма по задолженности на начало года",'[1]СВОД с расшиф'!$A$5,"Округ","СЗФО","Наименование территории","ПСКОВСКАЯ ОБЛАСТЬ")</f>
        <v>0</v>
      </c>
      <c r="L40" s="199">
        <f>GETPIVOTDATA("Сумма по полю Оплаченная сумма по  выставленным счетам в отчетном периоде",'[1]СВОД с расшиф'!$A$5,"Округ","СЗФО","Наименование территории","ПСКОВСКАЯ ОБЛАСТЬ")</f>
        <v>38120.83</v>
      </c>
      <c r="M40" s="199">
        <f>GETPIVOTDATA("Сумма по полю Оплаченная сумма за предыдущие  периоды",'[1]СВОД с расшиф'!$A$5,"Округ","СЗФО","Наименование территории","ПСКОВСКАЯ ОБЛАСТЬ")</f>
        <v>0</v>
      </c>
      <c r="N40" s="200">
        <f t="shared" si="1"/>
        <v>0</v>
      </c>
      <c r="O40" s="152">
        <f t="shared" si="16"/>
        <v>0</v>
      </c>
      <c r="P40" s="198">
        <f>GETPIVOTDATA("Сумма по полю Сумма отклонения по  счетам задолженности на начало года",'[1]СВОД с расшиф'!$A$5,"Округ","СЗФО","Наименование территории","ПСКОВСКАЯ ОБЛАСТЬ")</f>
        <v>0</v>
      </c>
      <c r="Q40" s="198">
        <f>GETPIVOTDATA("Сумма по полю Сумма отклонения по дешкам задолженности на начало года",'[1]СВОД с расшиф'!$A$5,"Округ","СЗФО","Наименование территории","ПСКОВСКАЯ ОБЛАСТЬ")</f>
        <v>0</v>
      </c>
      <c r="R40" s="198">
        <f>GETPIVOTDATA("Сумма по полю Повтороное отклонение по дешкам задолженности на начало года",'[1]СВОД с расшиф'!$A$5,"Округ","СЗФО","Наименование территории","ПСКОВСКАЯ ОБЛАСТЬ")</f>
        <v>0</v>
      </c>
      <c r="S40" s="199">
        <f>GETPIVOTDATA("Сумма по полю Сумма отклонения по  выставленным счетам в отчетном периоде",'[1]СВОД с расшиф'!$A$5,"Округ","СЗФО","Наименование территории","ПСКОВСКАЯ ОБЛАСТЬ")</f>
        <v>0</v>
      </c>
      <c r="T40" s="198">
        <f>GETPIVOTDATA("Сумма по полю Сумма отклонения по  выставленным счетам в отчетном периоде по дешкам",'[1]СВОД с расшиф'!$A$5,"Округ","СЗФО","Наименование территории","ПСКОВСКАЯ ОБЛАСТЬ")</f>
        <v>0</v>
      </c>
      <c r="U40" s="198">
        <f>GETPIVOTDATA("Сумма по полю Повторное отклонение по дешкам отчетного периода",'[1]СВОД с расшиф'!$A$5,"Округ","СЗФО","Наименование территории","ПСКОВСКАЯ ОБЛАСТЬ")</f>
        <v>0</v>
      </c>
      <c r="V40" s="198">
        <f>GETPIVOTDATA("Сумма по полю Сумма отклонения по  выставленным счетам за предыдущие периоды",'[1]СВОД с расшиф'!$A$5,"Округ","СЗФО","Наименование территории","ПСКОВСКАЯ ОБЛАСТЬ")</f>
        <v>0</v>
      </c>
      <c r="W40" s="152">
        <f>GETPIVOTDATA("Сумма по полю Задолженность по счету",'[1]СВОД с расшиф'!$A$5,"Округ","СЗФО","Наименование территории","ПСКОВСКАЯ ОБЛАСТЬ")</f>
        <v>48135.37</v>
      </c>
      <c r="X40" s="152">
        <f t="shared" si="2"/>
        <v>48135.37000000001</v>
      </c>
      <c r="Y40" s="152">
        <f t="shared" si="3"/>
        <v>0</v>
      </c>
      <c r="Z40" s="152">
        <f t="shared" si="4"/>
        <v>48135.37000000001</v>
      </c>
      <c r="AA40" s="152">
        <v>26503.05</v>
      </c>
      <c r="AB40" s="152">
        <f t="shared" si="5"/>
        <v>21632.320000000011</v>
      </c>
      <c r="AC40" s="152">
        <f t="shared" si="6"/>
        <v>48135.37000000001</v>
      </c>
      <c r="AD40" s="152">
        <f t="shared" si="7"/>
        <v>0</v>
      </c>
    </row>
    <row r="41" spans="1:30">
      <c r="A41" s="131"/>
      <c r="B41" s="151" t="s">
        <v>29</v>
      </c>
      <c r="C41" s="198">
        <v>0</v>
      </c>
      <c r="D41" s="198">
        <f>GETPIVOTDATA("Сумма по полю Сумма задолженности на начало года",'[1]СВОД с расшиф'!$A$5,"Округ","СЗФО","Наименование территории","РЕСПУБЛИКА КАРЕЛИЯ")</f>
        <v>0</v>
      </c>
      <c r="E41" s="152">
        <f t="shared" si="15"/>
        <v>4264.99</v>
      </c>
      <c r="F41" s="198">
        <f>GETPIVOTDATA("Сумма по полю Сумма задолженности на начало года повторно выставленные",'[1]СВОД с расшиф'!$A$5,"Округ","СЗФО","Наименование территории","РЕСПУБЛИКА КАРЕЛИЯ")</f>
        <v>0</v>
      </c>
      <c r="G41" s="199">
        <f>GETPIVOTDATA("Сумма по полю Сумма выставленного счета в отчетном периоде",'[1]СВОД с расшиф'!$A$5,"Округ","СЗФО","Наименование территории","РЕСПУБЛИКА КАРЕЛИЯ")</f>
        <v>4264.99</v>
      </c>
      <c r="H41" s="198">
        <f>GETPIVOTDATA("Сумма по полю Сумма повторно выставленного счета в отчетном периоде",'[1]СВОД с расшиф'!$A$5,"Округ","СЗФО","Наименование территории","РЕСПУБЛИКА КАРЕЛИЯ")</f>
        <v>0</v>
      </c>
      <c r="I41" s="198">
        <f>GETPIVOTDATA("Сумма по полю Сумма выставленного за предыдущие периоды",'[1]СВОД с расшиф'!$A$5,"Округ","СЗФО","Наименование территории","РЕСПУБЛИКА КАРЕЛИЯ")</f>
        <v>0</v>
      </c>
      <c r="J41" s="152">
        <f t="shared" si="8"/>
        <v>4264.99</v>
      </c>
      <c r="K41" s="198">
        <f>GETPIVOTDATA("Сумма по полю Оплаченная сумма по задолженности на начало года",'[1]СВОД с расшиф'!$A$5,"Округ","СЗФО","Наименование территории","РЕСПУБЛИКА КАРЕЛИЯ")</f>
        <v>0</v>
      </c>
      <c r="L41" s="199">
        <f>GETPIVOTDATA("Сумма по полю Оплаченная сумма по  выставленным счетам в отчетном периоде",'[1]СВОД с расшиф'!$A$5,"Округ","СЗФО","Наименование территории","РЕСПУБЛИКА КАРЕЛИЯ")</f>
        <v>4264.99</v>
      </c>
      <c r="M41" s="199">
        <f>GETPIVOTDATA("Сумма по полю Оплаченная сумма за предыдущие  периоды",'[1]СВОД с расшиф'!$A$5,"Округ","СЗФО","Наименование территории","РЕСПУБЛИКА КАРЕЛИЯ")</f>
        <v>0</v>
      </c>
      <c r="N41" s="200">
        <f t="shared" si="1"/>
        <v>0</v>
      </c>
      <c r="O41" s="152">
        <f t="shared" si="16"/>
        <v>0</v>
      </c>
      <c r="P41" s="198">
        <f>GETPIVOTDATA("Сумма по полю Сумма отклонения по  счетам задолженности на начало года",'[1]СВОД с расшиф'!$A$5,"Округ","СЗФО","Наименование территории","РЕСПУБЛИКА КАРЕЛИЯ")</f>
        <v>0</v>
      </c>
      <c r="Q41" s="198">
        <f>GETPIVOTDATA("Сумма по полю Сумма отклонения по дешкам задолженности на начало года",'[1]СВОД с расшиф'!$A$5,"Округ","СЗФО","Наименование территории","РЕСПУБЛИКА КАРЕЛИЯ")</f>
        <v>0</v>
      </c>
      <c r="R41" s="198">
        <f>GETPIVOTDATA("Сумма по полю Повтороное отклонение по дешкам задолженности на начало года",'[1]СВОД с расшиф'!$A$5,"Округ","СЗФО","Наименование территории","РЕСПУБЛИКА КАРЕЛИЯ")</f>
        <v>0</v>
      </c>
      <c r="S41" s="199">
        <f>GETPIVOTDATA("Сумма по полю Сумма отклонения по  выставленным счетам в отчетном периоде",'[1]СВОД с расшиф'!$A$5,"Округ","СЗФО","Наименование территории","РЕСПУБЛИКА КАРЕЛИЯ")</f>
        <v>0</v>
      </c>
      <c r="T41" s="198">
        <f>GETPIVOTDATA("Сумма по полю Сумма отклонения по  выставленным счетам в отчетном периоде по дешкам",'[1]СВОД с расшиф'!$A$5,"Округ","СЗФО","Наименование территории","РЕСПУБЛИКА КАРЕЛИЯ")</f>
        <v>0</v>
      </c>
      <c r="U41" s="198">
        <f>GETPIVOTDATA("Сумма по полю Повторное отклонение по дешкам отчетного периода",'[1]СВОД с расшиф'!$A$5,"Округ","СЗФО","Наименование территории","РЕСПУБЛИКА КАРЕЛИЯ")</f>
        <v>0</v>
      </c>
      <c r="V41" s="198">
        <f>GETPIVOTDATA("Сумма по полю Сумма отклонения по  выставленным счетам за предыдущие периоды",'[1]СВОД с расшиф'!$A$5,"Округ","СЗФО","Наименование территории","РЕСПУБЛИКА КАРЕЛИЯ")</f>
        <v>0</v>
      </c>
      <c r="W41" s="152">
        <f>GETPIVOTDATA("Сумма по полю Задолженность по счету",'[1]СВОД с расшиф'!$A$5,"Округ","СЗФО","Наименование территории","РЕСПУБЛИКА КАРЕЛИЯ")</f>
        <v>0</v>
      </c>
      <c r="X41" s="152">
        <f t="shared" si="2"/>
        <v>0</v>
      </c>
      <c r="Y41" s="152">
        <f t="shared" si="3"/>
        <v>0</v>
      </c>
      <c r="Z41" s="152">
        <f t="shared" si="4"/>
        <v>0</v>
      </c>
      <c r="AA41" s="152">
        <v>6565</v>
      </c>
      <c r="AB41" s="152">
        <f t="shared" si="5"/>
        <v>-6565</v>
      </c>
      <c r="AC41" s="152">
        <f t="shared" si="6"/>
        <v>0</v>
      </c>
      <c r="AD41" s="152">
        <f t="shared" si="7"/>
        <v>0</v>
      </c>
    </row>
    <row r="42" spans="1:30">
      <c r="A42" s="131"/>
      <c r="B42" s="151" t="s">
        <v>30</v>
      </c>
      <c r="C42" s="198">
        <v>52062.38</v>
      </c>
      <c r="D42" s="198">
        <f>GETPIVOTDATA("Сумма по полю Сумма задолженности на начало года",'[1]СВОД с расшиф'!$A$5,"Округ","СЗФО","Наименование территории","РЕСПУБЛИКА КОМИ")</f>
        <v>52062.38</v>
      </c>
      <c r="E42" s="152">
        <f t="shared" si="15"/>
        <v>34661.18</v>
      </c>
      <c r="F42" s="198">
        <f>GETPIVOTDATA("Сумма по полю Сумма задолженности на начало года повторно выставленные",'[1]СВОД с расшиф'!$A$5,"Округ","СЗФО","Наименование территории","РЕСПУБЛИКА КОМИ")</f>
        <v>0</v>
      </c>
      <c r="G42" s="199">
        <f>GETPIVOTDATA("Сумма по полю Сумма выставленного счета в отчетном периоде",'[1]СВОД с расшиф'!$A$5,"Округ","СЗФО","Наименование территории","РЕСПУБЛИКА КОМИ")</f>
        <v>34661.18</v>
      </c>
      <c r="H42" s="198">
        <f>GETPIVOTDATA("Сумма по полю Сумма повторно выставленного счета в отчетном периоде",'[1]СВОД с расшиф'!$A$5,"Округ","СЗФО","Наименование территории","РЕСПУБЛИКА КОМИ")</f>
        <v>0</v>
      </c>
      <c r="I42" s="198">
        <f>GETPIVOTDATA("Сумма по полю Сумма выставленного за предыдущие периоды",'[1]СВОД с расшиф'!$A$5,"Округ","СЗФО","Наименование территории","РЕСПУБЛИКА КОМИ")</f>
        <v>0</v>
      </c>
      <c r="J42" s="152">
        <f t="shared" si="8"/>
        <v>63218.479999999996</v>
      </c>
      <c r="K42" s="198">
        <f>GETPIVOTDATA("Сумма по полю Оплаченная сумма по задолженности на начало года",'[1]СВОД с расшиф'!$A$5,"Округ","СЗФО","Наименование территории","РЕСПУБЛИКА КОМИ")</f>
        <v>52062.38</v>
      </c>
      <c r="L42" s="199">
        <f>GETPIVOTDATA("Сумма по полю Оплаченная сумма по  выставленным счетам в отчетном периоде",'[1]СВОД с расшиф'!$A$5,"Округ","СЗФО","Наименование территории","РЕСПУБЛИКА КОМИ")</f>
        <v>11156.1</v>
      </c>
      <c r="M42" s="199">
        <f>GETPIVOTDATA("Сумма по полю Оплаченная сумма за предыдущие  периоды",'[1]СВОД с расшиф'!$A$5,"Округ","СЗФО","Наименование территории","РЕСПУБЛИКА КОМИ")</f>
        <v>0</v>
      </c>
      <c r="N42" s="200">
        <f t="shared" si="1"/>
        <v>447.75</v>
      </c>
      <c r="O42" s="152">
        <f t="shared" si="16"/>
        <v>447.75</v>
      </c>
      <c r="P42" s="198">
        <f>GETPIVOTDATA("Сумма по полю Сумма отклонения по  счетам задолженности на начало года",'[1]СВОД с расшиф'!$A$5,"Округ","СЗФО","Наименование территории","РЕСПУБЛИКА КОМИ")</f>
        <v>0</v>
      </c>
      <c r="Q42" s="198">
        <f>GETPIVOTDATA("Сумма по полю Сумма отклонения по дешкам задолженности на начало года",'[1]СВОД с расшиф'!$A$5,"Округ","СЗФО","Наименование территории","РЕСПУБЛИКА КОМИ")</f>
        <v>0</v>
      </c>
      <c r="R42" s="198">
        <f>GETPIVOTDATA("Сумма по полю Повтороное отклонение по дешкам задолженности на начало года",'[1]СВОД с расшиф'!$A$5,"Округ","СЗФО","Наименование территории","РЕСПУБЛИКА КОМИ")</f>
        <v>0</v>
      </c>
      <c r="S42" s="199">
        <f>GETPIVOTDATA("Сумма по полю Сумма отклонения по  выставленным счетам в отчетном периоде",'[1]СВОД с расшиф'!$A$5,"Округ","СЗФО","Наименование территории","РЕСПУБЛИКА КОМИ")</f>
        <v>447.75</v>
      </c>
      <c r="T42" s="198">
        <f>GETPIVOTDATA("Сумма по полю Сумма отклонения по  выставленным счетам в отчетном периоде по дешкам",'[1]СВОД с расшиф'!$A$5,"Округ","СЗФО","Наименование территории","РЕСПУБЛИКА КОМИ")</f>
        <v>0</v>
      </c>
      <c r="U42" s="198">
        <f>GETPIVOTDATA("Сумма по полю Повторное отклонение по дешкам отчетного периода",'[1]СВОД с расшиф'!$A$5,"Округ","СЗФО","Наименование территории","РЕСПУБЛИКА КОМИ")</f>
        <v>0</v>
      </c>
      <c r="V42" s="198">
        <f>GETPIVOTDATA("Сумма по полю Сумма отклонения по  выставленным счетам за предыдущие периоды",'[1]СВОД с расшиф'!$A$5,"Округ","СЗФО","Наименование территории","РЕСПУБЛИКА КОМИ")</f>
        <v>0</v>
      </c>
      <c r="W42" s="152">
        <f>GETPIVOTDATA("Сумма по полю Задолженность по счету",'[1]СВОД с расшиф'!$A$5,"Округ","СЗФО","Наименование территории","РЕСПУБЛИКА КОМИ")</f>
        <v>23057.33</v>
      </c>
      <c r="X42" s="152">
        <f t="shared" si="2"/>
        <v>23057.33</v>
      </c>
      <c r="Y42" s="152">
        <f t="shared" si="3"/>
        <v>0</v>
      </c>
      <c r="Z42" s="152">
        <f t="shared" si="4"/>
        <v>23057.33</v>
      </c>
      <c r="AA42" s="152">
        <v>77967.22</v>
      </c>
      <c r="AB42" s="152">
        <f t="shared" si="5"/>
        <v>-54909.89</v>
      </c>
      <c r="AC42" s="152">
        <f t="shared" si="6"/>
        <v>23057.33</v>
      </c>
      <c r="AD42" s="152">
        <f t="shared" si="7"/>
        <v>0</v>
      </c>
    </row>
    <row r="43" spans="1:30">
      <c r="A43" s="153" t="s">
        <v>126</v>
      </c>
      <c r="B43" s="154"/>
      <c r="C43" s="201">
        <f>SUM(C32:C42)</f>
        <v>6896040.8300000001</v>
      </c>
      <c r="D43" s="202">
        <f>SUM(D32:D42)</f>
        <v>6896040.8300000001</v>
      </c>
      <c r="E43" s="155">
        <f>SUM(E32:E42)</f>
        <v>12290861.549999995</v>
      </c>
      <c r="F43" s="202">
        <f>SUM(F32:F42)</f>
        <v>0</v>
      </c>
      <c r="G43" s="202">
        <f t="shared" ref="G43:W43" si="17">SUM(G32:G42)</f>
        <v>12290861.549999995</v>
      </c>
      <c r="H43" s="202">
        <f t="shared" si="17"/>
        <v>0</v>
      </c>
      <c r="I43" s="202">
        <f t="shared" si="17"/>
        <v>0</v>
      </c>
      <c r="J43" s="155">
        <f t="shared" si="17"/>
        <v>14161221.970000001</v>
      </c>
      <c r="K43" s="202">
        <f t="shared" si="17"/>
        <v>6896040.8300000001</v>
      </c>
      <c r="L43" s="202">
        <f t="shared" si="17"/>
        <v>7265181.1399999987</v>
      </c>
      <c r="M43" s="202">
        <f t="shared" si="17"/>
        <v>0</v>
      </c>
      <c r="N43" s="203">
        <f t="shared" si="1"/>
        <v>447.75</v>
      </c>
      <c r="O43" s="185">
        <f>SUM(O32:O42)</f>
        <v>447.75</v>
      </c>
      <c r="P43" s="202">
        <f t="shared" si="17"/>
        <v>0</v>
      </c>
      <c r="Q43" s="202">
        <f t="shared" si="17"/>
        <v>0</v>
      </c>
      <c r="R43" s="202">
        <f t="shared" si="17"/>
        <v>0</v>
      </c>
      <c r="S43" s="202">
        <f t="shared" si="17"/>
        <v>447.75</v>
      </c>
      <c r="T43" s="202">
        <f t="shared" si="17"/>
        <v>0</v>
      </c>
      <c r="U43" s="202">
        <f t="shared" si="17"/>
        <v>0</v>
      </c>
      <c r="V43" s="202">
        <f t="shared" si="17"/>
        <v>0</v>
      </c>
      <c r="W43" s="155">
        <f t="shared" si="17"/>
        <v>5025232.66</v>
      </c>
      <c r="X43" s="204">
        <f t="shared" si="2"/>
        <v>5025232.6599999946</v>
      </c>
      <c r="Y43" s="204">
        <f t="shared" si="3"/>
        <v>0</v>
      </c>
      <c r="Z43" s="155">
        <f t="shared" si="4"/>
        <v>5025232.6599999946</v>
      </c>
      <c r="AA43" s="155">
        <v>6126153.7099999953</v>
      </c>
      <c r="AB43" s="155">
        <f t="shared" si="5"/>
        <v>-1100921.0500000007</v>
      </c>
      <c r="AC43" s="155">
        <f t="shared" si="6"/>
        <v>5025232.6599999964</v>
      </c>
      <c r="AD43" s="155">
        <f t="shared" si="7"/>
        <v>0</v>
      </c>
    </row>
    <row r="44" spans="1:30">
      <c r="A44" s="131" t="s">
        <v>127</v>
      </c>
      <c r="B44" s="151" t="s">
        <v>69</v>
      </c>
      <c r="C44" s="198">
        <v>18310.919999999998</v>
      </c>
      <c r="D44" s="198">
        <f>GETPIVOTDATA("Сумма по полю Сумма задолженности на начало года",'[1]СВОД с расшиф'!$A$5,"Округ","СФО","Наименование территории","АЛТАЙСКИЙ КРАЙ")</f>
        <v>18310.919999999998</v>
      </c>
      <c r="E44" s="152">
        <f>F44+G44+H44+I44</f>
        <v>213251.13</v>
      </c>
      <c r="F44" s="198">
        <f>GETPIVOTDATA("Сумма по полю Сумма задолженности на начало года повторно выставленные",'[1]СВОД с расшиф'!$A$5,"Округ","СФО","Наименование территории","АЛТАЙСКИЙ КРАЙ")</f>
        <v>0</v>
      </c>
      <c r="G44" s="199">
        <f>GETPIVOTDATA("Сумма по полю Сумма выставленного счета в отчетном периоде",'[1]СВОД с расшиф'!$A$5,"Округ","СФО","Наименование территории","АЛТАЙСКИЙ КРАЙ")</f>
        <v>213251.13</v>
      </c>
      <c r="H44" s="198">
        <f>GETPIVOTDATA("Сумма по полю Сумма повторно выставленного счета в отчетном периоде",'[1]СВОД с расшиф'!$A$5,"Округ","СФО","Наименование территории","АЛТАЙСКИЙ КРАЙ")</f>
        <v>0</v>
      </c>
      <c r="I44" s="198">
        <f>GETPIVOTDATA("Сумма по полю Сумма выставленного за предыдущие периоды",'[1]СВОД с расшиф'!$A$5,"Округ","СФО","Наименование территории","АЛТАЙСКИЙ КРАЙ")</f>
        <v>0</v>
      </c>
      <c r="J44" s="152">
        <f t="shared" si="8"/>
        <v>26586.519999999997</v>
      </c>
      <c r="K44" s="198">
        <f>GETPIVOTDATA("Сумма по полю Оплаченная сумма по задолженности на начало года",'[1]СВОД с расшиф'!$A$5,"Округ","СФО","Наименование территории","АЛТАЙСКИЙ КРАЙ")</f>
        <v>18310.919999999998</v>
      </c>
      <c r="L44" s="199">
        <f>GETPIVOTDATA("Сумма по полю Оплаченная сумма по  выставленным счетам в отчетном периоде",'[1]СВОД с расшиф'!$A$5,"Округ","СФО","Наименование территории","АЛТАЙСКИЙ КРАЙ")</f>
        <v>8275.6</v>
      </c>
      <c r="M44" s="199">
        <f>GETPIVOTDATA("Сумма по полю Оплаченная сумма за предыдущие  периоды",'[1]СВОД с расшиф'!$A$5,"Округ","СФО","Наименование территории","АЛТАЙСКИЙ КРАЙ")</f>
        <v>0</v>
      </c>
      <c r="N44" s="200">
        <f t="shared" si="1"/>
        <v>0</v>
      </c>
      <c r="O44" s="152">
        <f>P44+Q44+R44+S44+T44+U44+V44</f>
        <v>0</v>
      </c>
      <c r="P44" s="198">
        <f>GETPIVOTDATA("Сумма по полю Сумма отклонения по  счетам задолженности на начало года",'[1]СВОД с расшиф'!$A$5,"Округ","СФО","Наименование территории","АЛТАЙСКИЙ КРАЙ")</f>
        <v>0</v>
      </c>
      <c r="Q44" s="198">
        <f>GETPIVOTDATA("Сумма по полю Сумма отклонения по дешкам задолженности на начало года",'[1]СВОД с расшиф'!$A$5,"Округ","СФО","Наименование территории","АЛТАЙСКИЙ КРАЙ")</f>
        <v>0</v>
      </c>
      <c r="R44" s="198">
        <f>GETPIVOTDATA("Сумма по полю Повтороное отклонение по дешкам задолженности на начало года",'[1]СВОД с расшиф'!$A$5,"Округ","СФО","Наименование территории","АЛТАЙСКИЙ КРАЙ")</f>
        <v>0</v>
      </c>
      <c r="S44" s="199">
        <f>GETPIVOTDATA("Сумма по полю Сумма отклонения по  выставленным счетам в отчетном периоде",'[1]СВОД с расшиф'!$A$5,"Округ","СФО","Наименование территории","АЛТАЙСКИЙ КРАЙ")</f>
        <v>0</v>
      </c>
      <c r="T44" s="198">
        <f>GETPIVOTDATA("Сумма по полю Сумма отклонения по  выставленным счетам в отчетном периоде по дешкам",'[1]СВОД с расшиф'!$A$5,"Округ","СФО","Наименование территории","АЛТАЙСКИЙ КРАЙ")</f>
        <v>0</v>
      </c>
      <c r="U44" s="198">
        <f>GETPIVOTDATA("Сумма по полю Повторное отклонение по дешкам отчетного периода",'[1]СВОД с расшиф'!$A$5,"Округ","СФО","Наименование территории","АЛТАЙСКИЙ КРАЙ")</f>
        <v>0</v>
      </c>
      <c r="V44" s="198">
        <f>GETPIVOTDATA("Сумма по полю Сумма отклонения по  выставленным счетам за предыдущие периоды",'[1]СВОД с расшиф'!$A$5,"Округ","СФО","Наименование территории","АЛТАЙСКИЙ КРАЙ")</f>
        <v>0</v>
      </c>
      <c r="W44" s="152">
        <f>GETPIVOTDATA("Сумма по полю Задолженность по счету",'[1]СВОД с расшиф'!$A$5,"Округ","СФО","Наименование территории","АЛТАЙСКИЙ КРАЙ")</f>
        <v>204975.53</v>
      </c>
      <c r="X44" s="152">
        <f t="shared" si="2"/>
        <v>204975.53</v>
      </c>
      <c r="Y44" s="152">
        <f t="shared" si="3"/>
        <v>0</v>
      </c>
      <c r="Z44" s="152">
        <f t="shared" si="4"/>
        <v>204975.53</v>
      </c>
      <c r="AA44" s="152">
        <v>52496.74</v>
      </c>
      <c r="AB44" s="152">
        <f t="shared" si="5"/>
        <v>152478.79</v>
      </c>
      <c r="AC44" s="152">
        <f t="shared" si="6"/>
        <v>204975.53</v>
      </c>
      <c r="AD44" s="152">
        <f t="shared" si="7"/>
        <v>0</v>
      </c>
    </row>
    <row r="45" spans="1:30">
      <c r="A45" s="131"/>
      <c r="B45" s="151" t="s">
        <v>71</v>
      </c>
      <c r="C45" s="198">
        <v>4615.71</v>
      </c>
      <c r="D45" s="198">
        <f>GETPIVOTDATA("Сумма по полю Сумма задолженности на начало года",'[1]СВОД с расшиф'!$A$5,"Округ","СФО","Наименование территории","ИРКУТСКАЯ ОБЛАСТЬ")</f>
        <v>4615.71</v>
      </c>
      <c r="E45" s="152">
        <f t="shared" ref="E45:E53" si="18">F45+G45+H45+I45</f>
        <v>14920.300000000001</v>
      </c>
      <c r="F45" s="198">
        <f>GETPIVOTDATA("Сумма по полю Сумма задолженности на начало года повторно выставленные",'[1]СВОД с расшиф'!$A$5,"Округ","СФО","Наименование территории","ИРКУТСКАЯ ОБЛАСТЬ")</f>
        <v>0</v>
      </c>
      <c r="G45" s="199">
        <f>GETPIVOTDATA("Сумма по полю Сумма выставленного счета в отчетном периоде",'[1]СВОД с расшиф'!$A$5,"Округ","СФО","Наименование территории","ИРКУТСКАЯ ОБЛАСТЬ")</f>
        <v>14920.300000000001</v>
      </c>
      <c r="H45" s="198">
        <f>GETPIVOTDATA("Сумма по полю Сумма повторно выставленного счета в отчетном периоде",'[1]СВОД с расшиф'!$A$5,"Округ","СФО","Наименование территории","ИРКУТСКАЯ ОБЛАСТЬ")</f>
        <v>0</v>
      </c>
      <c r="I45" s="198">
        <f>GETPIVOTDATA("Сумма по полю Сумма выставленного за предыдущие периоды",'[1]СВОД с расшиф'!$A$5,"Округ","СФО","Наименование территории","ИРКУТСКАЯ ОБЛАСТЬ")</f>
        <v>0</v>
      </c>
      <c r="J45" s="152">
        <f t="shared" si="8"/>
        <v>4759</v>
      </c>
      <c r="K45" s="198">
        <f>GETPIVOTDATA("Сумма по полю Оплаченная сумма по задолженности на начало года",'[1]СВОД с расшиф'!$A$5,"Округ","СФО","Наименование территории","ИРКУТСКАЯ ОБЛАСТЬ")</f>
        <v>4615.71</v>
      </c>
      <c r="L45" s="199">
        <f>GETPIVOTDATA("Сумма по полю Оплаченная сумма по  выставленным счетам в отчетном периоде",'[1]СВОД с расшиф'!$A$5,"Округ","СФО","Наименование территории","ИРКУТСКАЯ ОБЛАСТЬ")</f>
        <v>143.29</v>
      </c>
      <c r="M45" s="199">
        <f>GETPIVOTDATA("Сумма по полю Оплаченная сумма за предыдущие  периоды",'[1]СВОД с расшиф'!$A$5,"Округ","СФО","Наименование территории","ИРКУТСКАЯ ОБЛАСТЬ")</f>
        <v>0</v>
      </c>
      <c r="N45" s="200">
        <f t="shared" si="1"/>
        <v>0</v>
      </c>
      <c r="O45" s="152">
        <f t="shared" ref="O45:O53" si="19">P45+Q45+R45+S45+T45+U45+V45</f>
        <v>0</v>
      </c>
      <c r="P45" s="198">
        <f>GETPIVOTDATA("Сумма по полю Сумма отклонения по  счетам задолженности на начало года",'[1]СВОД с расшиф'!$A$5,"Округ","СФО","Наименование территории","ИРКУТСКАЯ ОБЛАСТЬ")</f>
        <v>0</v>
      </c>
      <c r="Q45" s="198">
        <f>GETPIVOTDATA("Сумма по полю Сумма отклонения по дешкам задолженности на начало года",'[1]СВОД с расшиф'!$A$5,"Округ","СФО","Наименование территории","ИРКУТСКАЯ ОБЛАСТЬ")</f>
        <v>0</v>
      </c>
      <c r="R45" s="198">
        <f>GETPIVOTDATA("Сумма по полю Повтороное отклонение по дешкам задолженности на начало года",'[1]СВОД с расшиф'!$A$5,"Округ","СФО","Наименование территории","ИРКУТСКАЯ ОБЛАСТЬ")</f>
        <v>0</v>
      </c>
      <c r="S45" s="199">
        <f>GETPIVOTDATA("Сумма по полю Сумма отклонения по  выставленным счетам в отчетном периоде",'[1]СВОД с расшиф'!$A$5,"Округ","СФО","Наименование территории","ИРКУТСКАЯ ОБЛАСТЬ")</f>
        <v>0</v>
      </c>
      <c r="T45" s="198">
        <f>GETPIVOTDATA("Сумма по полю Сумма отклонения по  выставленным счетам в отчетном периоде по дешкам",'[1]СВОД с расшиф'!$A$5,"Округ","СФО","Наименование территории","ИРКУТСКАЯ ОБЛАСТЬ")</f>
        <v>0</v>
      </c>
      <c r="U45" s="198">
        <f>GETPIVOTDATA("Сумма по полю Повторное отклонение по дешкам отчетного периода",'[1]СВОД с расшиф'!$A$5,"Округ","СФО","Наименование территории","ИРКУТСКАЯ ОБЛАСТЬ")</f>
        <v>0</v>
      </c>
      <c r="V45" s="198">
        <f>GETPIVOTDATA("Сумма по полю Сумма отклонения по  выставленным счетам за предыдущие периоды",'[1]СВОД с расшиф'!$A$5,"Округ","СФО","Наименование территории","ИРКУТСКАЯ ОБЛАСТЬ")</f>
        <v>0</v>
      </c>
      <c r="W45" s="152">
        <f>GETPIVOTDATA("Сумма по полю Задолженность по счету",'[1]СВОД с расшиф'!$A$5,"Округ","СФО","Наименование территории","ИРКУТСКАЯ ОБЛАСТЬ")</f>
        <v>14777.01</v>
      </c>
      <c r="X45" s="152">
        <f t="shared" si="2"/>
        <v>14777.010000000002</v>
      </c>
      <c r="Y45" s="152">
        <f t="shared" si="3"/>
        <v>0</v>
      </c>
      <c r="Z45" s="152">
        <f t="shared" si="4"/>
        <v>14777.010000000002</v>
      </c>
      <c r="AA45" s="152">
        <v>3843.8899999999976</v>
      </c>
      <c r="AB45" s="152">
        <f t="shared" si="5"/>
        <v>10933.120000000004</v>
      </c>
      <c r="AC45" s="152">
        <f t="shared" si="6"/>
        <v>14777.010000000002</v>
      </c>
      <c r="AD45" s="152">
        <f t="shared" si="7"/>
        <v>0</v>
      </c>
    </row>
    <row r="46" spans="1:30">
      <c r="A46" s="131"/>
      <c r="B46" s="151" t="s">
        <v>72</v>
      </c>
      <c r="C46" s="198">
        <v>0</v>
      </c>
      <c r="D46" s="198">
        <f>GETPIVOTDATA("Сумма по полю Сумма задолженности на начало года",'[1]СВОД с расшиф'!$A$5,"Округ","СФО","Наименование территории","КЕМЕРОВСКАЯ ОБЛАСТЬ")</f>
        <v>0</v>
      </c>
      <c r="E46" s="152">
        <f t="shared" si="18"/>
        <v>425963.69</v>
      </c>
      <c r="F46" s="198">
        <f>GETPIVOTDATA("Сумма по полю Сумма задолженности на начало года повторно выставленные",'[1]СВОД с расшиф'!$A$5,"Округ","СФО","Наименование территории","КЕМЕРОВСКАЯ ОБЛАСТЬ")</f>
        <v>0</v>
      </c>
      <c r="G46" s="199">
        <f>GETPIVOTDATA("Сумма по полю Сумма выставленного счета в отчетном периоде",'[1]СВОД с расшиф'!$A$5,"Округ","СФО","Наименование территории","КЕМЕРОВСКАЯ ОБЛАСТЬ")</f>
        <v>425963.69</v>
      </c>
      <c r="H46" s="198">
        <f>GETPIVOTDATA("Сумма по полю Сумма повторно выставленного счета в отчетном периоде",'[1]СВОД с расшиф'!$A$5,"Округ","СФО","Наименование территории","КЕМЕРОВСКАЯ ОБЛАСТЬ")</f>
        <v>0</v>
      </c>
      <c r="I46" s="198">
        <f>GETPIVOTDATA("Сумма по полю Сумма выставленного за предыдущие периоды",'[1]СВОД с расшиф'!$A$5,"Округ","СФО","Наименование территории","КЕМЕРОВСКАЯ ОБЛАСТЬ")</f>
        <v>0</v>
      </c>
      <c r="J46" s="152">
        <f t="shared" si="8"/>
        <v>163209.87</v>
      </c>
      <c r="K46" s="198">
        <f>GETPIVOTDATA("Сумма по полю Оплаченная сумма по задолженности на начало года",'[1]СВОД с расшиф'!$A$5,"Округ","СФО","Наименование территории","КЕМЕРОВСКАЯ ОБЛАСТЬ")</f>
        <v>0</v>
      </c>
      <c r="L46" s="199">
        <f>GETPIVOTDATA("Сумма по полю Оплаченная сумма по  выставленным счетам в отчетном периоде",'[1]СВОД с расшиф'!$A$5,"Округ","СФО","Наименование территории","КЕМЕРОВСКАЯ ОБЛАСТЬ")</f>
        <v>163209.87</v>
      </c>
      <c r="M46" s="199">
        <f>GETPIVOTDATA("Сумма по полю Оплаченная сумма за предыдущие  периоды",'[1]СВОД с расшиф'!$A$5,"Округ","СФО","Наименование территории","КЕМЕРОВСКАЯ ОБЛАСТЬ")</f>
        <v>0</v>
      </c>
      <c r="N46" s="200">
        <f t="shared" si="1"/>
        <v>0</v>
      </c>
      <c r="O46" s="152">
        <f t="shared" si="19"/>
        <v>0</v>
      </c>
      <c r="P46" s="198">
        <f>GETPIVOTDATA("Сумма по полю Сумма отклонения по  счетам задолженности на начало года",'[1]СВОД с расшиф'!$A$5,"Округ","СФО","Наименование территории","КЕМЕРОВСКАЯ ОБЛАСТЬ")</f>
        <v>0</v>
      </c>
      <c r="Q46" s="198">
        <f>GETPIVOTDATA("Сумма по полю Сумма отклонения по дешкам задолженности на начало года",'[1]СВОД с расшиф'!$A$5,"Округ","СФО","Наименование территории","КЕМЕРОВСКАЯ ОБЛАСТЬ")</f>
        <v>0</v>
      </c>
      <c r="R46" s="198">
        <f>GETPIVOTDATA("Сумма по полю Повтороное отклонение по дешкам задолженности на начало года",'[1]СВОД с расшиф'!$A$5,"Округ","СФО","Наименование территории","КЕМЕРОВСКАЯ ОБЛАСТЬ")</f>
        <v>0</v>
      </c>
      <c r="S46" s="199">
        <f>GETPIVOTDATA("Сумма по полю Сумма отклонения по  выставленным счетам в отчетном периоде",'[1]СВОД с расшиф'!$A$5,"Округ","СФО","Наименование территории","КЕМЕРОВСКАЯ ОБЛАСТЬ")</f>
        <v>0</v>
      </c>
      <c r="T46" s="198">
        <f>GETPIVOTDATA("Сумма по полю Сумма отклонения по  выставленным счетам в отчетном периоде по дешкам",'[1]СВОД с расшиф'!$A$5,"Округ","СФО","Наименование территории","КЕМЕРОВСКАЯ ОБЛАСТЬ")</f>
        <v>0</v>
      </c>
      <c r="U46" s="198">
        <f>GETPIVOTDATA("Сумма по полю Повторное отклонение по дешкам отчетного периода",'[1]СВОД с расшиф'!$A$5,"Округ","СФО","Наименование территории","КЕМЕРОВСКАЯ ОБЛАСТЬ")</f>
        <v>0</v>
      </c>
      <c r="V46" s="198">
        <f>GETPIVOTDATA("Сумма по полю Сумма отклонения по  выставленным счетам за предыдущие периоды",'[1]СВОД с расшиф'!$A$5,"Округ","СФО","Наименование территории","КЕМЕРОВСКАЯ ОБЛАСТЬ")</f>
        <v>0</v>
      </c>
      <c r="W46" s="152">
        <f>GETPIVOTDATA("Сумма по полю Задолженность по счету",'[1]СВОД с расшиф'!$A$5,"Округ","СФО","Наименование территории","КЕМЕРОВСКАЯ ОБЛАСТЬ")</f>
        <v>262753.82</v>
      </c>
      <c r="X46" s="152">
        <f t="shared" si="2"/>
        <v>262753.82</v>
      </c>
      <c r="Y46" s="152">
        <f t="shared" si="3"/>
        <v>0</v>
      </c>
      <c r="Z46" s="152">
        <f t="shared" si="4"/>
        <v>262753.82</v>
      </c>
      <c r="AA46" s="152">
        <v>63414.82</v>
      </c>
      <c r="AB46" s="152">
        <f t="shared" si="5"/>
        <v>199339</v>
      </c>
      <c r="AC46" s="152">
        <f t="shared" si="6"/>
        <v>262753.82</v>
      </c>
      <c r="AD46" s="152">
        <f t="shared" si="7"/>
        <v>0</v>
      </c>
    </row>
    <row r="47" spans="1:30">
      <c r="A47" s="131"/>
      <c r="B47" s="151" t="s">
        <v>73</v>
      </c>
      <c r="C47" s="198">
        <v>3448</v>
      </c>
      <c r="D47" s="198">
        <f>GETPIVOTDATA("Сумма по полю Сумма задолженности на начало года",'[1]СВОД с расшиф'!$A$5,"Округ","СФО","Наименование территории","КРАСНОЯРСКИЙ КРАЙ")</f>
        <v>3448</v>
      </c>
      <c r="E47" s="152">
        <f t="shared" si="18"/>
        <v>65183</v>
      </c>
      <c r="F47" s="198">
        <f>GETPIVOTDATA("Сумма по полю Сумма задолженности на начало года повторно выставленные",'[1]СВОД с расшиф'!$A$5,"Округ","СФО","Наименование территории","КРАСНОЯРСКИЙ КРАЙ")</f>
        <v>0</v>
      </c>
      <c r="G47" s="199">
        <f>GETPIVOTDATA("Сумма по полю Сумма выставленного счета в отчетном периоде",'[1]СВОД с расшиф'!$A$5,"Округ","СФО","Наименование территории","КРАСНОЯРСКИЙ КРАЙ")</f>
        <v>65183</v>
      </c>
      <c r="H47" s="198">
        <f>GETPIVOTDATA("Сумма по полю Сумма повторно выставленного счета в отчетном периоде",'[1]СВОД с расшиф'!$A$5,"Округ","СФО","Наименование территории","КРАСНОЯРСКИЙ КРАЙ")</f>
        <v>0</v>
      </c>
      <c r="I47" s="198">
        <f>GETPIVOTDATA("Сумма по полю Сумма выставленного за предыдущие периоды",'[1]СВОД с расшиф'!$A$5,"Округ","СФО","Наименование территории","КРАСНОЯРСКИЙ КРАЙ")</f>
        <v>0</v>
      </c>
      <c r="J47" s="152">
        <f t="shared" si="8"/>
        <v>37677</v>
      </c>
      <c r="K47" s="198">
        <f>GETPIVOTDATA("Сумма по полю Оплаченная сумма по задолженности на начало года",'[1]СВОД с расшиф'!$A$5,"Округ","СФО","Наименование территории","КРАСНОЯРСКИЙ КРАЙ")</f>
        <v>3448</v>
      </c>
      <c r="L47" s="199">
        <f>GETPIVOTDATA("Сумма по полю Оплаченная сумма по  выставленным счетам в отчетном периоде",'[1]СВОД с расшиф'!$A$5,"Округ","СФО","Наименование территории","КРАСНОЯРСКИЙ КРАЙ")</f>
        <v>34229</v>
      </c>
      <c r="M47" s="199">
        <f>GETPIVOTDATA("Сумма по полю Оплаченная сумма за предыдущие  периоды",'[1]СВОД с расшиф'!$A$5,"Округ","СФО","Наименование территории","КРАСНОЯРСКИЙ КРАЙ")</f>
        <v>0</v>
      </c>
      <c r="N47" s="200">
        <f t="shared" si="1"/>
        <v>0</v>
      </c>
      <c r="O47" s="152">
        <f t="shared" si="19"/>
        <v>0</v>
      </c>
      <c r="P47" s="198">
        <f>GETPIVOTDATA("Сумма по полю Сумма отклонения по  счетам задолженности на начало года",'[1]СВОД с расшиф'!$A$5,"Округ","СФО","Наименование территории","КРАСНОЯРСКИЙ КРАЙ")</f>
        <v>0</v>
      </c>
      <c r="Q47" s="198">
        <f>GETPIVOTDATA("Сумма по полю Сумма отклонения по дешкам задолженности на начало года",'[1]СВОД с расшиф'!$A$5,"Округ","СФО","Наименование территории","КРАСНОЯРСКИЙ КРАЙ")</f>
        <v>0</v>
      </c>
      <c r="R47" s="198">
        <f>GETPIVOTDATA("Сумма по полю Повтороное отклонение по дешкам задолженности на начало года",'[1]СВОД с расшиф'!$A$5,"Округ","СФО","Наименование территории","КРАСНОЯРСКИЙ КРАЙ")</f>
        <v>0</v>
      </c>
      <c r="S47" s="199">
        <f>GETPIVOTDATA("Сумма по полю Сумма отклонения по  выставленным счетам в отчетном периоде",'[1]СВОД с расшиф'!$A$5,"Округ","СФО","Наименование территории","КРАСНОЯРСКИЙ КРАЙ")</f>
        <v>0</v>
      </c>
      <c r="T47" s="198">
        <f>GETPIVOTDATA("Сумма по полю Сумма отклонения по  выставленным счетам в отчетном периоде по дешкам",'[1]СВОД с расшиф'!$A$5,"Округ","СФО","Наименование территории","КРАСНОЯРСКИЙ КРАЙ")</f>
        <v>0</v>
      </c>
      <c r="U47" s="198">
        <f>GETPIVOTDATA("Сумма по полю Повторное отклонение по дешкам отчетного периода",'[1]СВОД с расшиф'!$A$5,"Округ","СФО","Наименование территории","КРАСНОЯРСКИЙ КРАЙ")</f>
        <v>0</v>
      </c>
      <c r="V47" s="198">
        <f>GETPIVOTDATA("Сумма по полю Сумма отклонения по  выставленным счетам за предыдущие периоды",'[1]СВОД с расшиф'!$A$5,"Округ","СФО","Наименование территории","КРАСНОЯРСКИЙ КРАЙ")</f>
        <v>0</v>
      </c>
      <c r="W47" s="152">
        <f>GETPIVOTDATA("Сумма по полю Задолженность по счету",'[1]СВОД с расшиф'!$A$5,"Округ","СФО","Наименование территории","КРАСНОЯРСКИЙ КРАЙ")</f>
        <v>30954</v>
      </c>
      <c r="X47" s="152">
        <f t="shared" si="2"/>
        <v>30954</v>
      </c>
      <c r="Y47" s="152">
        <f t="shared" si="3"/>
        <v>0</v>
      </c>
      <c r="Z47" s="152">
        <f t="shared" si="4"/>
        <v>30954</v>
      </c>
      <c r="AA47" s="152">
        <v>9406.5200000000186</v>
      </c>
      <c r="AB47" s="152">
        <f t="shared" si="5"/>
        <v>21547.479999999981</v>
      </c>
      <c r="AC47" s="152">
        <f t="shared" si="6"/>
        <v>30954</v>
      </c>
      <c r="AD47" s="152">
        <f t="shared" si="7"/>
        <v>0</v>
      </c>
    </row>
    <row r="48" spans="1:30">
      <c r="A48" s="131"/>
      <c r="B48" s="151" t="s">
        <v>74</v>
      </c>
      <c r="C48" s="198">
        <v>8740.2800000000007</v>
      </c>
      <c r="D48" s="198">
        <f>GETPIVOTDATA("Сумма по полю Сумма задолженности на начало года",'[1]СВОД с расшиф'!$A$5,"Округ","СФО","Наименование территории","НОВОСИБИРСКАЯ ОБЛАСТЬ")</f>
        <v>8740.2800000000007</v>
      </c>
      <c r="E48" s="152">
        <f t="shared" si="18"/>
        <v>151332.01</v>
      </c>
      <c r="F48" s="198">
        <f>GETPIVOTDATA("Сумма по полю Сумма задолженности на начало года повторно выставленные",'[1]СВОД с расшиф'!$A$5,"Округ","СФО","Наименование территории","НОВОСИБИРСКАЯ ОБЛАСТЬ")</f>
        <v>0</v>
      </c>
      <c r="G48" s="199">
        <f>GETPIVOTDATA("Сумма по полю Сумма выставленного счета в отчетном периоде",'[1]СВОД с расшиф'!$A$5,"Округ","СФО","Наименование территории","НОВОСИБИРСКАЯ ОБЛАСТЬ")</f>
        <v>151332.01</v>
      </c>
      <c r="H48" s="198">
        <f>GETPIVOTDATA("Сумма по полю Сумма повторно выставленного счета в отчетном периоде",'[1]СВОД с расшиф'!$A$5,"Округ","СФО","Наименование территории","НОВОСИБИРСКАЯ ОБЛАСТЬ")</f>
        <v>0</v>
      </c>
      <c r="I48" s="198">
        <f>GETPIVOTDATA("Сумма по полю Сумма выставленного за предыдущие периоды",'[1]СВОД с расшиф'!$A$5,"Округ","СФО","Наименование территории","НОВОСИБИРСКАЯ ОБЛАСТЬ")</f>
        <v>0</v>
      </c>
      <c r="J48" s="152">
        <f t="shared" si="8"/>
        <v>116681.81</v>
      </c>
      <c r="K48" s="198">
        <f>GETPIVOTDATA("Сумма по полю Оплаченная сумма по задолженности на начало года",'[1]СВОД с расшиф'!$A$5,"Округ","СФО","Наименование территории","НОВОСИБИРСКАЯ ОБЛАСТЬ")</f>
        <v>8740.2800000000007</v>
      </c>
      <c r="L48" s="199">
        <f>GETPIVOTDATA("Сумма по полю Оплаченная сумма по  выставленным счетам в отчетном периоде",'[1]СВОД с расшиф'!$A$5,"Округ","СФО","Наименование территории","НОВОСИБИРСКАЯ ОБЛАСТЬ")</f>
        <v>107941.53</v>
      </c>
      <c r="M48" s="199">
        <f>GETPIVOTDATA("Сумма по полю Оплаченная сумма за предыдущие  периоды",'[1]СВОД с расшиф'!$A$5,"Округ","СФО","Наименование территории","НОВОСИБИРСКАЯ ОБЛАСТЬ")</f>
        <v>0</v>
      </c>
      <c r="N48" s="200">
        <f t="shared" si="1"/>
        <v>0</v>
      </c>
      <c r="O48" s="152">
        <f t="shared" si="19"/>
        <v>0</v>
      </c>
      <c r="P48" s="198">
        <f>GETPIVOTDATA("Сумма по полю Сумма отклонения по  счетам задолженности на начало года",'[1]СВОД с расшиф'!$A$5,"Округ","СФО","Наименование территории","НОВОСИБИРСКАЯ ОБЛАСТЬ")</f>
        <v>0</v>
      </c>
      <c r="Q48" s="198">
        <f>GETPIVOTDATA("Сумма по полю Сумма отклонения по дешкам задолженности на начало года",'[1]СВОД с расшиф'!$A$5,"Округ","СФО","Наименование территории","НОВОСИБИРСКАЯ ОБЛАСТЬ")</f>
        <v>0</v>
      </c>
      <c r="R48" s="198">
        <f>GETPIVOTDATA("Сумма по полю Повтороное отклонение по дешкам задолженности на начало года",'[1]СВОД с расшиф'!$A$5,"Округ","СФО","Наименование территории","НОВОСИБИРСКАЯ ОБЛАСТЬ")</f>
        <v>0</v>
      </c>
      <c r="S48" s="199">
        <f>GETPIVOTDATA("Сумма по полю Сумма отклонения по  выставленным счетам в отчетном периоде",'[1]СВОД с расшиф'!$A$5,"Округ","СФО","Наименование территории","НОВОСИБИРСКАЯ ОБЛАСТЬ")</f>
        <v>0</v>
      </c>
      <c r="T48" s="198">
        <f>GETPIVOTDATA("Сумма по полю Сумма отклонения по  выставленным счетам в отчетном периоде по дешкам",'[1]СВОД с расшиф'!$A$5,"Округ","СФО","Наименование территории","НОВОСИБИРСКАЯ ОБЛАСТЬ")</f>
        <v>0</v>
      </c>
      <c r="U48" s="198">
        <f>GETPIVOTDATA("Сумма по полю Повторное отклонение по дешкам отчетного периода",'[1]СВОД с расшиф'!$A$5,"Округ","СФО","Наименование территории","НОВОСИБИРСКАЯ ОБЛАСТЬ")</f>
        <v>0</v>
      </c>
      <c r="V48" s="198">
        <f>GETPIVOTDATA("Сумма по полю Сумма отклонения по  выставленным счетам за предыдущие периоды",'[1]СВОД с расшиф'!$A$5,"Округ","СФО","Наименование территории","НОВОСИБИРСКАЯ ОБЛАСТЬ")</f>
        <v>0</v>
      </c>
      <c r="W48" s="152">
        <f>GETPIVOTDATA("Сумма по полю Задолженность по счету",'[1]СВОД с расшиф'!$A$5,"Округ","СФО","Наименование территории","НОВОСИБИРСКАЯ ОБЛАСТЬ")</f>
        <v>43390.48</v>
      </c>
      <c r="X48" s="152">
        <f t="shared" si="2"/>
        <v>43390.48000000001</v>
      </c>
      <c r="Y48" s="152">
        <f t="shared" si="3"/>
        <v>0</v>
      </c>
      <c r="Z48" s="152">
        <f t="shared" si="4"/>
        <v>43390.48000000001</v>
      </c>
      <c r="AA48" s="152">
        <v>70736.760000000009</v>
      </c>
      <c r="AB48" s="152">
        <f t="shared" si="5"/>
        <v>-27346.28</v>
      </c>
      <c r="AC48" s="152">
        <f t="shared" si="6"/>
        <v>43390.48000000001</v>
      </c>
      <c r="AD48" s="152">
        <f t="shared" si="7"/>
        <v>0</v>
      </c>
    </row>
    <row r="49" spans="1:30">
      <c r="A49" s="131"/>
      <c r="B49" s="151" t="s">
        <v>75</v>
      </c>
      <c r="C49" s="198">
        <v>0</v>
      </c>
      <c r="D49" s="198">
        <f>GETPIVOTDATA("Сумма по полю Сумма задолженности на начало года",'[1]СВОД с расшиф'!$A$5,"Округ","СФО","Наименование территории","ОМСКАЯ ОБЛАСТЬ")</f>
        <v>0</v>
      </c>
      <c r="E49" s="152">
        <f t="shared" si="18"/>
        <v>20970.099999999999</v>
      </c>
      <c r="F49" s="198">
        <f>GETPIVOTDATA("Сумма по полю Сумма задолженности на начало года повторно выставленные",'[1]СВОД с расшиф'!$A$5,"Округ","СФО","Наименование территории","ОМСКАЯ ОБЛАСТЬ")</f>
        <v>0</v>
      </c>
      <c r="G49" s="199">
        <f>GETPIVOTDATA("Сумма по полю Сумма выставленного счета в отчетном периоде",'[1]СВОД с расшиф'!$A$5,"Округ","СФО","Наименование территории","ОМСКАЯ ОБЛАСТЬ")</f>
        <v>20970.099999999999</v>
      </c>
      <c r="H49" s="198">
        <f>GETPIVOTDATA("Сумма по полю Сумма повторно выставленного счета в отчетном периоде",'[1]СВОД с расшиф'!$A$5,"Округ","СФО","Наименование территории","ОМСКАЯ ОБЛАСТЬ")</f>
        <v>0</v>
      </c>
      <c r="I49" s="198">
        <f>GETPIVOTDATA("Сумма по полю Сумма выставленного за предыдущие периоды",'[1]СВОД с расшиф'!$A$5,"Округ","СФО","Наименование территории","ОМСКАЯ ОБЛАСТЬ")</f>
        <v>0</v>
      </c>
      <c r="J49" s="152">
        <f t="shared" si="8"/>
        <v>7141.99</v>
      </c>
      <c r="K49" s="198">
        <f>GETPIVOTDATA("Сумма по полю Оплаченная сумма по задолженности на начало года",'[1]СВОД с расшиф'!$A$5,"Округ","СФО","Наименование территории","ОМСКАЯ ОБЛАСТЬ")</f>
        <v>0</v>
      </c>
      <c r="L49" s="199">
        <f>GETPIVOTDATA("Сумма по полю Оплаченная сумма по  выставленным счетам в отчетном периоде",'[1]СВОД с расшиф'!$A$5,"Округ","СФО","Наименование территории","ОМСКАЯ ОБЛАСТЬ")</f>
        <v>7141.99</v>
      </c>
      <c r="M49" s="199">
        <f>GETPIVOTDATA("Сумма по полю Оплаченная сумма за предыдущие  периоды",'[1]СВОД с расшиф'!$A$5,"Округ","СФО","Наименование территории","ОМСКАЯ ОБЛАСТЬ")</f>
        <v>0</v>
      </c>
      <c r="N49" s="200">
        <f t="shared" si="1"/>
        <v>0</v>
      </c>
      <c r="O49" s="152">
        <f t="shared" si="19"/>
        <v>0</v>
      </c>
      <c r="P49" s="198">
        <f>GETPIVOTDATA("Сумма по полю Сумма отклонения по  счетам задолженности на начало года",'[1]СВОД с расшиф'!$A$5,"Округ","СФО","Наименование территории","ОМСКАЯ ОБЛАСТЬ")</f>
        <v>0</v>
      </c>
      <c r="Q49" s="198">
        <f>GETPIVOTDATA("Сумма по полю Сумма отклонения по дешкам задолженности на начало года",'[1]СВОД с расшиф'!$A$5,"Округ","СФО","Наименование территории","ОМСКАЯ ОБЛАСТЬ")</f>
        <v>0</v>
      </c>
      <c r="R49" s="198">
        <f>GETPIVOTDATA("Сумма по полю Повтороное отклонение по дешкам задолженности на начало года",'[1]СВОД с расшиф'!$A$5,"Округ","СФО","Наименование территории","ОМСКАЯ ОБЛАСТЬ")</f>
        <v>0</v>
      </c>
      <c r="S49" s="199">
        <f>GETPIVOTDATA("Сумма по полю Сумма отклонения по  выставленным счетам в отчетном периоде",'[1]СВОД с расшиф'!$A$5,"Округ","СФО","Наименование территории","ОМСКАЯ ОБЛАСТЬ")</f>
        <v>0</v>
      </c>
      <c r="T49" s="198">
        <f>GETPIVOTDATA("Сумма по полю Сумма отклонения по  выставленным счетам в отчетном периоде по дешкам",'[1]СВОД с расшиф'!$A$5,"Округ","СФО","Наименование территории","ОМСКАЯ ОБЛАСТЬ")</f>
        <v>0</v>
      </c>
      <c r="U49" s="198">
        <f>GETPIVOTDATA("Сумма по полю Повторное отклонение по дешкам отчетного периода",'[1]СВОД с расшиф'!$A$5,"Округ","СФО","Наименование территории","ОМСКАЯ ОБЛАСТЬ")</f>
        <v>0</v>
      </c>
      <c r="V49" s="198">
        <f>GETPIVOTDATA("Сумма по полю Сумма отклонения по  выставленным счетам за предыдущие периоды",'[1]СВОД с расшиф'!$A$5,"Округ","СФО","Наименование территории","ОМСКАЯ ОБЛАСТЬ")</f>
        <v>0</v>
      </c>
      <c r="W49" s="152">
        <f>GETPIVOTDATA("Сумма по полю Задолженность по счету",'[1]СВОД с расшиф'!$A$5,"Округ","СФО","Наименование территории","ОМСКАЯ ОБЛАСТЬ")</f>
        <v>13828.11</v>
      </c>
      <c r="X49" s="152">
        <f t="shared" si="2"/>
        <v>13828.109999999999</v>
      </c>
      <c r="Y49" s="152">
        <f t="shared" si="3"/>
        <v>0</v>
      </c>
      <c r="Z49" s="152">
        <f t="shared" si="4"/>
        <v>13828.109999999999</v>
      </c>
      <c r="AA49" s="152">
        <v>36492.189999999995</v>
      </c>
      <c r="AB49" s="152">
        <f t="shared" si="5"/>
        <v>-22664.079999999994</v>
      </c>
      <c r="AC49" s="152">
        <f t="shared" si="6"/>
        <v>13828.109999999999</v>
      </c>
      <c r="AD49" s="152">
        <f t="shared" si="7"/>
        <v>0</v>
      </c>
    </row>
    <row r="50" spans="1:30">
      <c r="A50" s="131"/>
      <c r="B50" s="151" t="s">
        <v>76</v>
      </c>
      <c r="C50" s="198">
        <v>0</v>
      </c>
      <c r="D50" s="198">
        <f>GETPIVOTDATA("Сумма по полю Сумма задолженности на начало года",'[1]СВОД с расшиф'!$A$5,"Округ","СФО","Наименование территории","РЕСПУБЛИКА ГОРНЫЙ АЛТАЙ")</f>
        <v>0</v>
      </c>
      <c r="E50" s="152">
        <f t="shared" si="18"/>
        <v>1457.85</v>
      </c>
      <c r="F50" s="198">
        <f>GETPIVOTDATA("Сумма по полю Сумма задолженности на начало года повторно выставленные",'[1]СВОД с расшиф'!$A$5,"Округ","СФО","Наименование территории","РЕСПУБЛИКА ГОРНЫЙ АЛТАЙ")</f>
        <v>0</v>
      </c>
      <c r="G50" s="199">
        <f>GETPIVOTDATA("Сумма по полю Сумма выставленного счета в отчетном периоде",'[1]СВОД с расшиф'!$A$5,"Округ","СФО","Наименование территории","РЕСПУБЛИКА ГОРНЫЙ АЛТАЙ")</f>
        <v>1457.85</v>
      </c>
      <c r="H50" s="198">
        <f>GETPIVOTDATA("Сумма по полю Сумма повторно выставленного счета в отчетном периоде",'[1]СВОД с расшиф'!$A$5,"Округ","СФО","Наименование территории","РЕСПУБЛИКА ГОРНЫЙ АЛТАЙ")</f>
        <v>0</v>
      </c>
      <c r="I50" s="198">
        <f>GETPIVOTDATA("Сумма по полю Сумма выставленного за предыдущие периоды",'[1]СВОД с расшиф'!$A$5,"Округ","СФО","Наименование территории","РЕСПУБЛИКА ГОРНЫЙ АЛТАЙ")</f>
        <v>0</v>
      </c>
      <c r="J50" s="152">
        <f t="shared" si="8"/>
        <v>1457.85</v>
      </c>
      <c r="K50" s="198">
        <f>GETPIVOTDATA("Сумма по полю Оплаченная сумма по задолженности на начало года",'[1]СВОД с расшиф'!$A$5,"Округ","СФО","Наименование территории","РЕСПУБЛИКА ГОРНЫЙ АЛТАЙ")</f>
        <v>0</v>
      </c>
      <c r="L50" s="199">
        <f>GETPIVOTDATA("Сумма по полю Оплаченная сумма по  выставленным счетам в отчетном периоде",'[1]СВОД с расшиф'!$A$5,"Округ","СФО","Наименование территории","РЕСПУБЛИКА ГОРНЫЙ АЛТАЙ")</f>
        <v>1457.85</v>
      </c>
      <c r="M50" s="199">
        <f>GETPIVOTDATA("Сумма по полю Оплаченная сумма за предыдущие  периоды",'[1]СВОД с расшиф'!$A$5,"Округ","СФО","Наименование территории","РЕСПУБЛИКА ГОРНЫЙ АЛТАЙ")</f>
        <v>0</v>
      </c>
      <c r="N50" s="200">
        <f t="shared" si="1"/>
        <v>0</v>
      </c>
      <c r="O50" s="152">
        <f t="shared" si="19"/>
        <v>0</v>
      </c>
      <c r="P50" s="198">
        <f>GETPIVOTDATA("Сумма по полю Сумма отклонения по  счетам задолженности на начало года",'[1]СВОД с расшиф'!$A$5,"Округ","СФО","Наименование территории","РЕСПУБЛИКА ГОРНЫЙ АЛТАЙ")</f>
        <v>0</v>
      </c>
      <c r="Q50" s="198">
        <f>GETPIVOTDATA("Сумма по полю Сумма отклонения по дешкам задолженности на начало года",'[1]СВОД с расшиф'!$A$5,"Округ","СФО","Наименование территории","РЕСПУБЛИКА ГОРНЫЙ АЛТАЙ")</f>
        <v>0</v>
      </c>
      <c r="R50" s="198">
        <f>GETPIVOTDATA("Сумма по полю Повтороное отклонение по дешкам задолженности на начало года",'[1]СВОД с расшиф'!$A$5,"Округ","СФО","Наименование территории","РЕСПУБЛИКА ГОРНЫЙ АЛТАЙ")</f>
        <v>0</v>
      </c>
      <c r="S50" s="199">
        <f>GETPIVOTDATA("Сумма по полю Сумма отклонения по  выставленным счетам в отчетном периоде",'[1]СВОД с расшиф'!$A$5,"Округ","СФО","Наименование территории","РЕСПУБЛИКА ГОРНЫЙ АЛТАЙ")</f>
        <v>0</v>
      </c>
      <c r="T50" s="198">
        <f>GETPIVOTDATA("Сумма по полю Сумма отклонения по  выставленным счетам в отчетном периоде по дешкам",'[1]СВОД с расшиф'!$A$5,"Округ","СФО","Наименование территории","РЕСПУБЛИКА ГОРНЫЙ АЛТАЙ")</f>
        <v>0</v>
      </c>
      <c r="U50" s="198">
        <f>GETPIVOTDATA("Сумма по полю Повторное отклонение по дешкам отчетного периода",'[1]СВОД с расшиф'!$A$5,"Округ","СФО","Наименование территории","РЕСПУБЛИКА ГОРНЫЙ АЛТАЙ")</f>
        <v>0</v>
      </c>
      <c r="V50" s="198">
        <f>GETPIVOTDATA("Сумма по полю Сумма отклонения по  выставленным счетам за предыдущие периоды",'[1]СВОД с расшиф'!$A$5,"Округ","СФО","Наименование территории","РЕСПУБЛИКА ГОРНЫЙ АЛТАЙ")</f>
        <v>0</v>
      </c>
      <c r="W50" s="152">
        <f>GETPIVOTDATA("Сумма по полю Задолженность по счету",'[1]СВОД с расшиф'!$A$5,"Округ","СФО","Наименование территории","РЕСПУБЛИКА ГОРНЫЙ АЛТАЙ")</f>
        <v>0</v>
      </c>
      <c r="X50" s="152">
        <f t="shared" si="2"/>
        <v>0</v>
      </c>
      <c r="Y50" s="152">
        <f t="shared" si="3"/>
        <v>0</v>
      </c>
      <c r="Z50" s="152">
        <f t="shared" si="4"/>
        <v>0</v>
      </c>
      <c r="AA50" s="152">
        <v>382.0600000000004</v>
      </c>
      <c r="AB50" s="152">
        <f t="shared" si="5"/>
        <v>-382.0600000000004</v>
      </c>
      <c r="AC50" s="152">
        <f t="shared" si="6"/>
        <v>0</v>
      </c>
      <c r="AD50" s="152">
        <f t="shared" si="7"/>
        <v>0</v>
      </c>
    </row>
    <row r="51" spans="1:30">
      <c r="A51" s="131"/>
      <c r="B51" s="151" t="s">
        <v>78</v>
      </c>
      <c r="C51" s="198">
        <v>0</v>
      </c>
      <c r="D51" s="198">
        <f>GETPIVOTDATA("Сумма по полю Сумма задолженности на начало года",'[1]СВОД с расшиф'!$A$5,"Округ","СФО","Наименование территории","РЕСПУБЛИКА ТЫВА")</f>
        <v>0</v>
      </c>
      <c r="E51" s="152">
        <f t="shared" si="18"/>
        <v>0</v>
      </c>
      <c r="F51" s="198">
        <f>GETPIVOTDATA("Сумма по полю Сумма задолженности на начало года повторно выставленные",'[1]СВОД с расшиф'!$A$5,"Округ","СФО","Наименование территории","РЕСПУБЛИКА ТЫВА")</f>
        <v>0</v>
      </c>
      <c r="G51" s="199">
        <f>GETPIVOTDATA("Сумма по полю Сумма выставленного счета в отчетном периоде",'[1]СВОД с расшиф'!$A$5,"Округ","СФО","Наименование территории","РЕСПУБЛИКА ТЫВА")</f>
        <v>0</v>
      </c>
      <c r="H51" s="198">
        <f>GETPIVOTDATA("Сумма по полю Сумма повторно выставленного счета в отчетном периоде",'[1]СВОД с расшиф'!$A$5,"Округ","СФО","Наименование территории","РЕСПУБЛИКА ТЫВА")</f>
        <v>0</v>
      </c>
      <c r="I51" s="198">
        <f>GETPIVOTDATA("Сумма по полю Сумма выставленного за предыдущие периоды",'[1]СВОД с расшиф'!$A$5,"Округ","СФО","Наименование территории","РЕСПУБЛИКА ТЫВА")</f>
        <v>0</v>
      </c>
      <c r="J51" s="152">
        <f t="shared" si="8"/>
        <v>0</v>
      </c>
      <c r="K51" s="198">
        <f>GETPIVOTDATA("Сумма по полю Оплаченная сумма по задолженности на начало года",'[1]СВОД с расшиф'!$A$5,"Округ","СФО","Наименование территории","РЕСПУБЛИКА ТЫВА")</f>
        <v>0</v>
      </c>
      <c r="L51" s="199">
        <f>GETPIVOTDATA("Сумма по полю Оплаченная сумма по  выставленным счетам в отчетном периоде",'[1]СВОД с расшиф'!$A$5,"Округ","СФО","Наименование территории","РЕСПУБЛИКА ТЫВА")</f>
        <v>0</v>
      </c>
      <c r="M51" s="199">
        <f>GETPIVOTDATA("Сумма по полю Оплаченная сумма за предыдущие  периоды",'[1]СВОД с расшиф'!$A$5,"Округ","СФО","Наименование территории","РЕСПУБЛИКА ТЫВА")</f>
        <v>0</v>
      </c>
      <c r="N51" s="200">
        <f t="shared" si="1"/>
        <v>0</v>
      </c>
      <c r="O51" s="152">
        <f t="shared" si="19"/>
        <v>0</v>
      </c>
      <c r="P51" s="198">
        <f>GETPIVOTDATA("Сумма по полю Сумма отклонения по  счетам задолженности на начало года",'[1]СВОД с расшиф'!$A$5,"Округ","СФО","Наименование территории","РЕСПУБЛИКА ТЫВА")</f>
        <v>0</v>
      </c>
      <c r="Q51" s="198">
        <f>GETPIVOTDATA("Сумма по полю Сумма отклонения по дешкам задолженности на начало года",'[1]СВОД с расшиф'!$A$5,"Округ","СФО","Наименование территории","РЕСПУБЛИКА ТЫВА")</f>
        <v>0</v>
      </c>
      <c r="R51" s="198">
        <f>GETPIVOTDATA("Сумма по полю Повтороное отклонение по дешкам задолженности на начало года",'[1]СВОД с расшиф'!$A$5,"Округ","СФО","Наименование территории","РЕСПУБЛИКА ТЫВА")</f>
        <v>0</v>
      </c>
      <c r="S51" s="199">
        <f>GETPIVOTDATA("Сумма по полю Сумма отклонения по  выставленным счетам в отчетном периоде",'[1]СВОД с расшиф'!$A$5,"Округ","СФО","Наименование территории","РЕСПУБЛИКА ТЫВА")</f>
        <v>0</v>
      </c>
      <c r="T51" s="198">
        <f>GETPIVOTDATA("Сумма по полю Сумма отклонения по  выставленным счетам в отчетном периоде по дешкам",'[1]СВОД с расшиф'!$A$5,"Округ","СФО","Наименование территории","РЕСПУБЛИКА ТЫВА")</f>
        <v>0</v>
      </c>
      <c r="U51" s="198">
        <f>GETPIVOTDATA("Сумма по полю Повторное отклонение по дешкам отчетного периода",'[1]СВОД с расшиф'!$A$5,"Округ","СФО","Наименование территории","РЕСПУБЛИКА ТЫВА")</f>
        <v>0</v>
      </c>
      <c r="V51" s="198">
        <f>GETPIVOTDATA("Сумма по полю Сумма отклонения по  выставленным счетам за предыдущие периоды",'[1]СВОД с расшиф'!$A$5,"Округ","СФО","Наименование территории","РЕСПУБЛИКА ТЫВА")</f>
        <v>0</v>
      </c>
      <c r="W51" s="152">
        <f>GETPIVOTDATA("Сумма по полю Задолженность по счету",'[1]СВОД с расшиф'!$A$5,"Округ","СФО","Наименование территории","РЕСПУБЛИКА ТЫВА")</f>
        <v>0</v>
      </c>
      <c r="X51" s="152">
        <f t="shared" si="2"/>
        <v>0</v>
      </c>
      <c r="Y51" s="152">
        <f t="shared" si="3"/>
        <v>0</v>
      </c>
      <c r="Z51" s="152">
        <f t="shared" si="4"/>
        <v>0</v>
      </c>
      <c r="AA51" s="152">
        <v>0</v>
      </c>
      <c r="AB51" s="152">
        <f t="shared" si="5"/>
        <v>0</v>
      </c>
      <c r="AC51" s="152">
        <f t="shared" si="6"/>
        <v>0</v>
      </c>
      <c r="AD51" s="152">
        <f t="shared" si="7"/>
        <v>0</v>
      </c>
    </row>
    <row r="52" spans="1:30">
      <c r="A52" s="131"/>
      <c r="B52" s="151" t="s">
        <v>79</v>
      </c>
      <c r="C52" s="198">
        <v>0</v>
      </c>
      <c r="D52" s="198">
        <f>GETPIVOTDATA("Сумма по полю Сумма задолженности на начало года",'[1]СВОД с расшиф'!$A$5,"Округ","СФО","Наименование территории","РЕСПУБЛИКА ХАКАСИЯ")</f>
        <v>0</v>
      </c>
      <c r="E52" s="152">
        <f t="shared" si="18"/>
        <v>0</v>
      </c>
      <c r="F52" s="198">
        <f>GETPIVOTDATA("Сумма по полю Сумма задолженности на начало года повторно выставленные",'[1]СВОД с расшиф'!$A$5,"Округ","СФО","Наименование территории","РЕСПУБЛИКА ХАКАСИЯ")</f>
        <v>0</v>
      </c>
      <c r="G52" s="199">
        <f>GETPIVOTDATA("Сумма по полю Сумма выставленного счета в отчетном периоде",'[1]СВОД с расшиф'!$A$5,"Округ","СФО","Наименование территории","РЕСПУБЛИКА ХАКАСИЯ")</f>
        <v>0</v>
      </c>
      <c r="H52" s="198">
        <f>GETPIVOTDATA("Сумма по полю Сумма повторно выставленного счета в отчетном периоде",'[1]СВОД с расшиф'!$A$5,"Округ","СФО","Наименование территории","РЕСПУБЛИКА ХАКАСИЯ")</f>
        <v>0</v>
      </c>
      <c r="I52" s="198">
        <f>GETPIVOTDATA("Сумма по полю Сумма выставленного за предыдущие периоды",'[1]СВОД с расшиф'!$A$5,"Округ","СФО","Наименование территории","РЕСПУБЛИКА ХАКАСИЯ")</f>
        <v>0</v>
      </c>
      <c r="J52" s="152">
        <f t="shared" si="8"/>
        <v>0</v>
      </c>
      <c r="K52" s="198">
        <f>GETPIVOTDATA("Сумма по полю Оплаченная сумма по задолженности на начало года",'[1]СВОД с расшиф'!$A$5,"Округ","СФО","Наименование территории","РЕСПУБЛИКА ХАКАСИЯ")</f>
        <v>0</v>
      </c>
      <c r="L52" s="199">
        <f>GETPIVOTDATA("Сумма по полю Оплаченная сумма по  выставленным счетам в отчетном периоде",'[1]СВОД с расшиф'!$A$5,"Округ","СФО","Наименование территории","РЕСПУБЛИКА ХАКАСИЯ")</f>
        <v>0</v>
      </c>
      <c r="M52" s="199">
        <f>GETPIVOTDATA("Сумма по полю Оплаченная сумма за предыдущие  периоды",'[1]СВОД с расшиф'!$A$5,"Округ","СФО","Наименование территории","РЕСПУБЛИКА ХАКАСИЯ")</f>
        <v>0</v>
      </c>
      <c r="N52" s="200">
        <f t="shared" si="1"/>
        <v>0</v>
      </c>
      <c r="O52" s="152">
        <f t="shared" si="19"/>
        <v>0</v>
      </c>
      <c r="P52" s="198">
        <f>GETPIVOTDATA("Сумма по полю Сумма отклонения по  счетам задолженности на начало года",'[1]СВОД с расшиф'!$A$5,"Округ","СФО","Наименование территории","РЕСПУБЛИКА ХАКАСИЯ")</f>
        <v>0</v>
      </c>
      <c r="Q52" s="198">
        <f>GETPIVOTDATA("Сумма по полю Сумма отклонения по дешкам задолженности на начало года",'[1]СВОД с расшиф'!$A$5,"Округ","СФО","Наименование территории","РЕСПУБЛИКА ХАКАСИЯ")</f>
        <v>0</v>
      </c>
      <c r="R52" s="198">
        <f>GETPIVOTDATA("Сумма по полю Повтороное отклонение по дешкам задолженности на начало года",'[1]СВОД с расшиф'!$A$5,"Округ","СФО","Наименование территории","РЕСПУБЛИКА ХАКАСИЯ")</f>
        <v>0</v>
      </c>
      <c r="S52" s="199">
        <f>GETPIVOTDATA("Сумма по полю Сумма отклонения по  выставленным счетам в отчетном периоде",'[1]СВОД с расшиф'!$A$5,"Округ","СФО","Наименование территории","РЕСПУБЛИКА ХАКАСИЯ")</f>
        <v>0</v>
      </c>
      <c r="T52" s="198">
        <f>GETPIVOTDATA("Сумма по полю Сумма отклонения по  выставленным счетам в отчетном периоде по дешкам",'[1]СВОД с расшиф'!$A$5,"Округ","СФО","Наименование территории","РЕСПУБЛИКА ХАКАСИЯ")</f>
        <v>0</v>
      </c>
      <c r="U52" s="198">
        <f>GETPIVOTDATA("Сумма по полю Повторное отклонение по дешкам отчетного периода",'[1]СВОД с расшиф'!$A$5,"Округ","СФО","Наименование территории","РЕСПУБЛИКА ХАКАСИЯ")</f>
        <v>0</v>
      </c>
      <c r="V52" s="198">
        <f>GETPIVOTDATA("Сумма по полю Сумма отклонения по  выставленным счетам за предыдущие периоды",'[1]СВОД с расшиф'!$A$5,"Округ","СФО","Наименование территории","РЕСПУБЛИКА ХАКАСИЯ")</f>
        <v>0</v>
      </c>
      <c r="W52" s="152">
        <f>GETPIVOTDATA("Сумма по полю Задолженность по счету",'[1]СВОД с расшиф'!$A$5,"Округ","СФО","Наименование территории","РЕСПУБЛИКА ХАКАСИЯ")</f>
        <v>0</v>
      </c>
      <c r="X52" s="152">
        <f t="shared" si="2"/>
        <v>0</v>
      </c>
      <c r="Y52" s="152">
        <f t="shared" si="3"/>
        <v>0</v>
      </c>
      <c r="Z52" s="152">
        <f t="shared" si="4"/>
        <v>0</v>
      </c>
      <c r="AA52" s="152">
        <v>0</v>
      </c>
      <c r="AB52" s="152">
        <f t="shared" si="5"/>
        <v>0</v>
      </c>
      <c r="AC52" s="152">
        <f t="shared" si="6"/>
        <v>0</v>
      </c>
      <c r="AD52" s="152">
        <f t="shared" si="7"/>
        <v>0</v>
      </c>
    </row>
    <row r="53" spans="1:30">
      <c r="A53" s="131"/>
      <c r="B53" s="151" t="s">
        <v>80</v>
      </c>
      <c r="C53" s="198">
        <v>3044.19</v>
      </c>
      <c r="D53" s="198">
        <f>GETPIVOTDATA("Сумма по полю Сумма задолженности на начало года",'[1]СВОД с расшиф'!$A$5,"Округ","СФО","Наименование территории","ТОМСКАЯ ОБЛАСТЬ")</f>
        <v>3044.19</v>
      </c>
      <c r="E53" s="152">
        <f t="shared" si="18"/>
        <v>596.36</v>
      </c>
      <c r="F53" s="198">
        <f>GETPIVOTDATA("Сумма по полю Сумма задолженности на начало года повторно выставленные",'[1]СВОД с расшиф'!$A$5,"Округ","СФО","Наименование территории","ТОМСКАЯ ОБЛАСТЬ")</f>
        <v>0</v>
      </c>
      <c r="G53" s="199">
        <f>GETPIVOTDATA("Сумма по полю Сумма выставленного счета в отчетном периоде",'[1]СВОД с расшиф'!$A$5,"Округ","СФО","Наименование территории","ТОМСКАЯ ОБЛАСТЬ")</f>
        <v>596.36</v>
      </c>
      <c r="H53" s="198">
        <f>GETPIVOTDATA("Сумма по полю Сумма повторно выставленного счета в отчетном периоде",'[1]СВОД с расшиф'!$A$5,"Округ","СФО","Наименование территории","ТОМСКАЯ ОБЛАСТЬ")</f>
        <v>0</v>
      </c>
      <c r="I53" s="198">
        <f>GETPIVOTDATA("Сумма по полю Сумма выставленного за предыдущие периоды",'[1]СВОД с расшиф'!$A$5,"Округ","СФО","Наименование территории","ТОМСКАЯ ОБЛАСТЬ")</f>
        <v>0</v>
      </c>
      <c r="J53" s="152">
        <f t="shared" si="8"/>
        <v>3044.19</v>
      </c>
      <c r="K53" s="198">
        <f>GETPIVOTDATA("Сумма по полю Оплаченная сумма по задолженности на начало года",'[1]СВОД с расшиф'!$A$5,"Округ","СФО","Наименование территории","ТОМСКАЯ ОБЛАСТЬ")</f>
        <v>3044.19</v>
      </c>
      <c r="L53" s="199">
        <f>GETPIVOTDATA("Сумма по полю Оплаченная сумма по  выставленным счетам в отчетном периоде",'[1]СВОД с расшиф'!$A$5,"Округ","СФО","Наименование территории","ТОМСКАЯ ОБЛАСТЬ")</f>
        <v>0</v>
      </c>
      <c r="M53" s="199">
        <f>GETPIVOTDATA("Сумма по полю Оплаченная сумма за предыдущие  периоды",'[1]СВОД с расшиф'!$A$5,"Округ","СФО","Наименование территории","ТОМСКАЯ ОБЛАСТЬ")</f>
        <v>0</v>
      </c>
      <c r="N53" s="200">
        <f t="shared" si="1"/>
        <v>0</v>
      </c>
      <c r="O53" s="152">
        <f t="shared" si="19"/>
        <v>0</v>
      </c>
      <c r="P53" s="198">
        <f>GETPIVOTDATA("Сумма по полю Сумма отклонения по  счетам задолженности на начало года",'[1]СВОД с расшиф'!$A$5,"Округ","СФО","Наименование территории","ТОМСКАЯ ОБЛАСТЬ")</f>
        <v>0</v>
      </c>
      <c r="Q53" s="198">
        <f>GETPIVOTDATA("Сумма по полю Сумма отклонения по дешкам задолженности на начало года",'[1]СВОД с расшиф'!$A$5,"Округ","СФО","Наименование территории","ТОМСКАЯ ОБЛАСТЬ")</f>
        <v>0</v>
      </c>
      <c r="R53" s="198">
        <f>GETPIVOTDATA("Сумма по полю Повтороное отклонение по дешкам задолженности на начало года",'[1]СВОД с расшиф'!$A$5,"Округ","СФО","Наименование территории","ТОМСКАЯ ОБЛАСТЬ")</f>
        <v>0</v>
      </c>
      <c r="S53" s="199">
        <f>GETPIVOTDATA("Сумма по полю Сумма отклонения по  выставленным счетам в отчетном периоде",'[1]СВОД с расшиф'!$A$5,"Округ","СФО","Наименование территории","ТОМСКАЯ ОБЛАСТЬ")</f>
        <v>0</v>
      </c>
      <c r="T53" s="198">
        <f>GETPIVOTDATA("Сумма по полю Сумма отклонения по  выставленным счетам в отчетном периоде по дешкам",'[1]СВОД с расшиф'!$A$5,"Округ","СФО","Наименование территории","ТОМСКАЯ ОБЛАСТЬ")</f>
        <v>0</v>
      </c>
      <c r="U53" s="198">
        <f>GETPIVOTDATA("Сумма по полю Повторное отклонение по дешкам отчетного периода",'[1]СВОД с расшиф'!$A$5,"Округ","СФО","Наименование территории","ТОМСКАЯ ОБЛАСТЬ")</f>
        <v>0</v>
      </c>
      <c r="V53" s="198">
        <f>GETPIVOTDATA("Сумма по полю Сумма отклонения по  выставленным счетам за предыдущие периоды",'[1]СВОД с расшиф'!$A$5,"Округ","СФО","Наименование территории","ТОМСКАЯ ОБЛАСТЬ")</f>
        <v>0</v>
      </c>
      <c r="W53" s="152">
        <f>GETPIVOTDATA("Сумма по полю Задолженность по счету",'[1]СВОД с расшиф'!$A$5,"Округ","СФО","Наименование территории","ТОМСКАЯ ОБЛАСТЬ")</f>
        <v>596.36</v>
      </c>
      <c r="X53" s="152">
        <f t="shared" si="2"/>
        <v>596.36000000000013</v>
      </c>
      <c r="Y53" s="152">
        <f t="shared" si="3"/>
        <v>0</v>
      </c>
      <c r="Z53" s="152">
        <f t="shared" si="4"/>
        <v>596.36000000000013</v>
      </c>
      <c r="AA53" s="152">
        <v>243.68000000000393</v>
      </c>
      <c r="AB53" s="152">
        <f t="shared" si="5"/>
        <v>352.6799999999962</v>
      </c>
      <c r="AC53" s="152">
        <f t="shared" si="6"/>
        <v>596.36000000000013</v>
      </c>
      <c r="AD53" s="152">
        <f t="shared" si="7"/>
        <v>0</v>
      </c>
    </row>
    <row r="54" spans="1:30">
      <c r="A54" s="153" t="s">
        <v>128</v>
      </c>
      <c r="B54" s="154"/>
      <c r="C54" s="201">
        <f>SUM(C44:C53)</f>
        <v>38159.1</v>
      </c>
      <c r="D54" s="202">
        <f>SUM(D44:D53)</f>
        <v>38159.1</v>
      </c>
      <c r="E54" s="155">
        <f>SUM(E44:E53)</f>
        <v>893674.44</v>
      </c>
      <c r="F54" s="202">
        <f>SUM(F44:F53)</f>
        <v>0</v>
      </c>
      <c r="G54" s="202">
        <f t="shared" ref="G54:W54" si="20">SUM(G44:G53)</f>
        <v>893674.44</v>
      </c>
      <c r="H54" s="202">
        <f t="shared" si="20"/>
        <v>0</v>
      </c>
      <c r="I54" s="202">
        <f t="shared" si="20"/>
        <v>0</v>
      </c>
      <c r="J54" s="155">
        <f t="shared" si="20"/>
        <v>360558.22999999992</v>
      </c>
      <c r="K54" s="202">
        <f t="shared" si="20"/>
        <v>38159.1</v>
      </c>
      <c r="L54" s="202">
        <f t="shared" si="20"/>
        <v>322399.13</v>
      </c>
      <c r="M54" s="202">
        <f t="shared" si="20"/>
        <v>0</v>
      </c>
      <c r="N54" s="203">
        <f t="shared" si="1"/>
        <v>0</v>
      </c>
      <c r="O54" s="185">
        <f>SUM(O44:O53)</f>
        <v>0</v>
      </c>
      <c r="P54" s="202">
        <f t="shared" si="20"/>
        <v>0</v>
      </c>
      <c r="Q54" s="202">
        <f t="shared" si="20"/>
        <v>0</v>
      </c>
      <c r="R54" s="202">
        <f t="shared" si="20"/>
        <v>0</v>
      </c>
      <c r="S54" s="202">
        <f t="shared" si="20"/>
        <v>0</v>
      </c>
      <c r="T54" s="202">
        <f t="shared" si="20"/>
        <v>0</v>
      </c>
      <c r="U54" s="202">
        <f t="shared" si="20"/>
        <v>0</v>
      </c>
      <c r="V54" s="202">
        <f t="shared" si="20"/>
        <v>0</v>
      </c>
      <c r="W54" s="155">
        <f t="shared" si="20"/>
        <v>571275.30999999994</v>
      </c>
      <c r="X54" s="204">
        <f t="shared" si="2"/>
        <v>571275.31000000006</v>
      </c>
      <c r="Y54" s="204">
        <f t="shared" si="3"/>
        <v>0</v>
      </c>
      <c r="Z54" s="155">
        <f t="shared" si="4"/>
        <v>571275.31000000006</v>
      </c>
      <c r="AA54" s="155">
        <v>237016.66</v>
      </c>
      <c r="AB54" s="155">
        <f t="shared" si="5"/>
        <v>334258.65000000002</v>
      </c>
      <c r="AC54" s="155">
        <f t="shared" si="6"/>
        <v>571275.30999999994</v>
      </c>
      <c r="AD54" s="155">
        <f t="shared" si="7"/>
        <v>0</v>
      </c>
    </row>
    <row r="55" spans="1:30">
      <c r="A55" s="131" t="s">
        <v>129</v>
      </c>
      <c r="B55" s="151" t="s">
        <v>62</v>
      </c>
      <c r="C55" s="198">
        <v>0</v>
      </c>
      <c r="D55" s="198">
        <f>GETPIVOTDATA("Сумма по полю Сумма задолженности на начало года",'[1]СВОД с расшиф'!$A$5,"Округ","УФО","Наименование территории","КУРГАНСКАЯ ОБЛАСТЬ")</f>
        <v>0</v>
      </c>
      <c r="E55" s="152">
        <f t="shared" ref="E55:E60" si="21">F55+G55+H55+I55</f>
        <v>55207.57</v>
      </c>
      <c r="F55" s="198">
        <f>GETPIVOTDATA("Сумма по полю Сумма задолженности на начало года повторно выставленные",'[1]СВОД с расшиф'!$A$5,"Округ","УФО","Наименование территории","КУРГАНСКАЯ ОБЛАСТЬ")</f>
        <v>0</v>
      </c>
      <c r="G55" s="199">
        <f>GETPIVOTDATA("Сумма по полю Сумма выставленного счета в отчетном периоде",'[1]СВОД с расшиф'!$A$5,"Округ","УФО","Наименование территории","КУРГАНСКАЯ ОБЛАСТЬ")</f>
        <v>55207.57</v>
      </c>
      <c r="H55" s="198">
        <f>GETPIVOTDATA("Сумма по полю Сумма повторно выставленного счета в отчетном периоде",'[1]СВОД с расшиф'!$A$5,"Округ","УФО","Наименование территории","КУРГАНСКАЯ ОБЛАСТЬ")</f>
        <v>0</v>
      </c>
      <c r="I55" s="198">
        <f>GETPIVOTDATA("Сумма по полю Сумма выставленного за предыдущие периоды",'[1]СВОД с расшиф'!$A$5,"Округ","УФО","Наименование территории","КУРГАНСКАЯ ОБЛАСТЬ")</f>
        <v>0</v>
      </c>
      <c r="J55" s="152">
        <f t="shared" si="8"/>
        <v>54202.29</v>
      </c>
      <c r="K55" s="198">
        <f>GETPIVOTDATA("Сумма по полю Оплаченная сумма по задолженности на начало года",'[1]СВОД с расшиф'!$A$5,"Округ","УФО","Наименование территории","КУРГАНСКАЯ ОБЛАСТЬ")</f>
        <v>0</v>
      </c>
      <c r="L55" s="199">
        <f>GETPIVOTDATA("Сумма по полю Оплаченная сумма по  выставленным счетам в отчетном периоде",'[1]СВОД с расшиф'!$A$5,"Округ","УФО","Наименование территории","КУРГАНСКАЯ ОБЛАСТЬ")</f>
        <v>54202.29</v>
      </c>
      <c r="M55" s="199">
        <f>GETPIVOTDATA("Сумма по полю Оплаченная сумма за предыдущие  периоды",'[1]СВОД с расшиф'!$A$5,"Округ","УФО","Наименование территории","КУРГАНСКАЯ ОБЛАСТЬ")</f>
        <v>0</v>
      </c>
      <c r="N55" s="200">
        <f t="shared" si="1"/>
        <v>0</v>
      </c>
      <c r="O55" s="152">
        <f t="shared" ref="O55:O60" si="22">P55+Q55+R55+S55+T55+U55+V55</f>
        <v>0</v>
      </c>
      <c r="P55" s="198">
        <f>GETPIVOTDATA("Сумма по полю Сумма отклонения по  счетам задолженности на начало года",'[1]СВОД с расшиф'!$A$5,"Округ","УФО","Наименование территории","КУРГАНСКАЯ ОБЛАСТЬ")</f>
        <v>0</v>
      </c>
      <c r="Q55" s="198">
        <f>GETPIVOTDATA("Сумма по полю Сумма отклонения по дешкам задолженности на начало года",'[1]СВОД с расшиф'!$A$5,"Округ","УФО","Наименование территории","КУРГАНСКАЯ ОБЛАСТЬ")</f>
        <v>0</v>
      </c>
      <c r="R55" s="198">
        <f>GETPIVOTDATA("Сумма по полю Повтороное отклонение по дешкам задолженности на начало года",'[1]СВОД с расшиф'!$A$5,"Округ","УФО","Наименование территории","КУРГАНСКАЯ ОБЛАСТЬ")</f>
        <v>0</v>
      </c>
      <c r="S55" s="199">
        <f>GETPIVOTDATA("Сумма по полю Сумма отклонения по  выставленным счетам в отчетном периоде",'[1]СВОД с расшиф'!$A$5,"Округ","УФО","Наименование территории","КУРГАНСКАЯ ОБЛАСТЬ")</f>
        <v>0</v>
      </c>
      <c r="T55" s="198">
        <f>GETPIVOTDATA("Сумма по полю Сумма отклонения по  выставленным счетам в отчетном периоде по дешкам",'[1]СВОД с расшиф'!$A$5,"Округ","УФО","Наименование территории","КУРГАНСКАЯ ОБЛАСТЬ")</f>
        <v>0</v>
      </c>
      <c r="U55" s="198">
        <f>GETPIVOTDATA("Сумма по полю Повторное отклонение по дешкам отчетного периода",'[1]СВОД с расшиф'!$A$5,"Округ","УФО","Наименование территории","КУРГАНСКАЯ ОБЛАСТЬ")</f>
        <v>0</v>
      </c>
      <c r="V55" s="198">
        <f>GETPIVOTDATA("Сумма по полю Сумма отклонения по  выставленным счетам за предыдущие периоды",'[1]СВОД с расшиф'!$A$5,"Округ","УФО","Наименование территории","КУРГАНСКАЯ ОБЛАСТЬ")</f>
        <v>0</v>
      </c>
      <c r="W55" s="152">
        <f>GETPIVOTDATA("Сумма по полю Задолженность по счету",'[1]СВОД с расшиф'!$A$5,"Округ","УФО","Наименование территории","КУРГАНСКАЯ ОБЛАСТЬ")</f>
        <v>1005.28</v>
      </c>
      <c r="X55" s="152">
        <f t="shared" si="2"/>
        <v>1005.2799999999988</v>
      </c>
      <c r="Y55" s="152">
        <f t="shared" si="3"/>
        <v>1.1368683772161603E-12</v>
      </c>
      <c r="Z55" s="152">
        <f t="shared" si="4"/>
        <v>1005.2799999999988</v>
      </c>
      <c r="AA55" s="152">
        <v>101225.32</v>
      </c>
      <c r="AB55" s="152">
        <f t="shared" si="5"/>
        <v>-100220.04000000001</v>
      </c>
      <c r="AC55" s="152">
        <f t="shared" si="6"/>
        <v>1005.2799999999988</v>
      </c>
      <c r="AD55" s="152">
        <f t="shared" si="7"/>
        <v>1.1368683772161603E-12</v>
      </c>
    </row>
    <row r="56" spans="1:30">
      <c r="A56" s="131"/>
      <c r="B56" s="151" t="s">
        <v>63</v>
      </c>
      <c r="C56" s="198">
        <v>73711.179999999993</v>
      </c>
      <c r="D56" s="198">
        <f>GETPIVOTDATA("Сумма по полю Сумма задолженности на начало года",'[1]СВОД с расшиф'!$A$5,"Округ","УФО","Наименование территории","СВЕРДЛОВСКАЯ ОБЛАСТЬ")</f>
        <v>73711.179999999993</v>
      </c>
      <c r="E56" s="152">
        <f t="shared" si="21"/>
        <v>487952.67000000004</v>
      </c>
      <c r="F56" s="198">
        <f>GETPIVOTDATA("Сумма по полю Сумма задолженности на начало года повторно выставленные",'[1]СВОД с расшиф'!$A$5,"Округ","УФО","Наименование территории","СВЕРДЛОВСКАЯ ОБЛАСТЬ")</f>
        <v>0</v>
      </c>
      <c r="G56" s="199">
        <f>GETPIVOTDATA("Сумма по полю Сумма выставленного счета в отчетном периоде",'[1]СВОД с расшиф'!$A$5,"Округ","УФО","Наименование территории","СВЕРДЛОВСКАЯ ОБЛАСТЬ")</f>
        <v>487952.67000000004</v>
      </c>
      <c r="H56" s="198">
        <f>GETPIVOTDATA("Сумма по полю Сумма повторно выставленного счета в отчетном периоде",'[1]СВОД с расшиф'!$A$5,"Округ","УФО","Наименование территории","СВЕРДЛОВСКАЯ ОБЛАСТЬ")</f>
        <v>0</v>
      </c>
      <c r="I56" s="198">
        <f>GETPIVOTDATA("Сумма по полю Сумма выставленного за предыдущие периоды",'[1]СВОД с расшиф'!$A$5,"Округ","УФО","Наименование территории","СВЕРДЛОВСКАЯ ОБЛАСТЬ")</f>
        <v>0</v>
      </c>
      <c r="J56" s="152">
        <f t="shared" si="8"/>
        <v>303056.68</v>
      </c>
      <c r="K56" s="198">
        <f>GETPIVOTDATA("Сумма по полю Оплаченная сумма по задолженности на начало года",'[1]СВОД с расшиф'!$A$5,"Округ","УФО","Наименование территории","СВЕРДЛОВСКАЯ ОБЛАСТЬ")</f>
        <v>73711.179999999993</v>
      </c>
      <c r="L56" s="199">
        <f>GETPIVOTDATA("Сумма по полю Оплаченная сумма по  выставленным счетам в отчетном периоде",'[1]СВОД с расшиф'!$A$5,"Округ","УФО","Наименование территории","СВЕРДЛОВСКАЯ ОБЛАСТЬ")</f>
        <v>229345.5</v>
      </c>
      <c r="M56" s="199">
        <f>GETPIVOTDATA("Сумма по полю Оплаченная сумма за предыдущие  периоды",'[1]СВОД с расшиф'!$A$5,"Округ","УФО","Наименование территории","СВЕРДЛОВСКАЯ ОБЛАСТЬ")</f>
        <v>0</v>
      </c>
      <c r="N56" s="200">
        <f t="shared" si="1"/>
        <v>0</v>
      </c>
      <c r="O56" s="152">
        <f t="shared" si="22"/>
        <v>0</v>
      </c>
      <c r="P56" s="198">
        <f>GETPIVOTDATA("Сумма по полю Сумма отклонения по  счетам задолженности на начало года",'[1]СВОД с расшиф'!$A$5,"Округ","УФО","Наименование территории","СВЕРДЛОВСКАЯ ОБЛАСТЬ")</f>
        <v>0</v>
      </c>
      <c r="Q56" s="198">
        <f>GETPIVOTDATA("Сумма по полю Сумма отклонения по дешкам задолженности на начало года",'[1]СВОД с расшиф'!$A$5,"Округ","УФО","Наименование территории","СВЕРДЛОВСКАЯ ОБЛАСТЬ")</f>
        <v>0</v>
      </c>
      <c r="R56" s="198">
        <f>GETPIVOTDATA("Сумма по полю Повтороное отклонение по дешкам задолженности на начало года",'[1]СВОД с расшиф'!$A$5,"Округ","УФО","Наименование территории","СВЕРДЛОВСКАЯ ОБЛАСТЬ")</f>
        <v>0</v>
      </c>
      <c r="S56" s="199">
        <f>GETPIVOTDATA("Сумма по полю Сумма отклонения по  выставленным счетам в отчетном периоде",'[1]СВОД с расшиф'!$A$5,"Округ","УФО","Наименование территории","СВЕРДЛОВСКАЯ ОБЛАСТЬ")</f>
        <v>0</v>
      </c>
      <c r="T56" s="198">
        <f>GETPIVOTDATA("Сумма по полю Сумма отклонения по  выставленным счетам в отчетном периоде по дешкам",'[1]СВОД с расшиф'!$A$5,"Округ","УФО","Наименование территории","СВЕРДЛОВСКАЯ ОБЛАСТЬ")</f>
        <v>0</v>
      </c>
      <c r="U56" s="198">
        <f>GETPIVOTDATA("Сумма по полю Повторное отклонение по дешкам отчетного периода",'[1]СВОД с расшиф'!$A$5,"Округ","УФО","Наименование территории","СВЕРДЛОВСКАЯ ОБЛАСТЬ")</f>
        <v>0</v>
      </c>
      <c r="V56" s="198">
        <f>GETPIVOTDATA("Сумма по полю Сумма отклонения по  выставленным счетам за предыдущие периоды",'[1]СВОД с расшиф'!$A$5,"Округ","УФО","Наименование территории","СВЕРДЛОВСКАЯ ОБЛАСТЬ")</f>
        <v>0</v>
      </c>
      <c r="W56" s="152">
        <f>GETPIVOTDATA("Сумма по полю Задолженность по счету",'[1]СВОД с расшиф'!$A$5,"Округ","УФО","Наименование территории","СВЕРДЛОВСКАЯ ОБЛАСТЬ")</f>
        <v>258607.17</v>
      </c>
      <c r="X56" s="152">
        <f t="shared" si="2"/>
        <v>258607.1700000001</v>
      </c>
      <c r="Y56" s="152">
        <f t="shared" si="3"/>
        <v>0</v>
      </c>
      <c r="Z56" s="152">
        <f t="shared" si="4"/>
        <v>258607.1700000001</v>
      </c>
      <c r="AA56" s="152">
        <v>802923.74000000011</v>
      </c>
      <c r="AB56" s="152">
        <f t="shared" si="5"/>
        <v>-544316.57000000007</v>
      </c>
      <c r="AC56" s="152">
        <f t="shared" si="6"/>
        <v>258607.1700000001</v>
      </c>
      <c r="AD56" s="152">
        <f t="shared" si="7"/>
        <v>0</v>
      </c>
    </row>
    <row r="57" spans="1:30">
      <c r="A57" s="131"/>
      <c r="B57" s="151" t="s">
        <v>64</v>
      </c>
      <c r="C57" s="198">
        <v>322312.75</v>
      </c>
      <c r="D57" s="198">
        <f>GETPIVOTDATA("Сумма по полю Сумма задолженности на начало года",'[1]СВОД с расшиф'!$A$5,"Округ","УФО","Наименование территории","ТЮМЕНСКАЯ ОБЛАСТЬ")</f>
        <v>322312.75</v>
      </c>
      <c r="E57" s="152">
        <f t="shared" si="21"/>
        <v>309073.35000000003</v>
      </c>
      <c r="F57" s="198">
        <f>GETPIVOTDATA("Сумма по полю Сумма задолженности на начало года повторно выставленные",'[1]СВОД с расшиф'!$A$5,"Округ","УФО","Наименование территории","ТЮМЕНСКАЯ ОБЛАСТЬ")</f>
        <v>0</v>
      </c>
      <c r="G57" s="199">
        <f>GETPIVOTDATA("Сумма по полю Сумма выставленного счета в отчетном периоде",'[1]СВОД с расшиф'!$A$5,"Округ","УФО","Наименование территории","ТЮМЕНСКАЯ ОБЛАСТЬ")</f>
        <v>309073.35000000003</v>
      </c>
      <c r="H57" s="198">
        <f>GETPIVOTDATA("Сумма по полю Сумма повторно выставленного счета в отчетном периоде",'[1]СВОД с расшиф'!$A$5,"Округ","УФО","Наименование территории","ТЮМЕНСКАЯ ОБЛАСТЬ")</f>
        <v>0</v>
      </c>
      <c r="I57" s="198">
        <f>GETPIVOTDATA("Сумма по полю Сумма выставленного за предыдущие периоды",'[1]СВОД с расшиф'!$A$5,"Округ","УФО","Наименование территории","ТЮМЕНСКАЯ ОБЛАСТЬ")</f>
        <v>0</v>
      </c>
      <c r="J57" s="152">
        <f t="shared" si="8"/>
        <v>624381.26</v>
      </c>
      <c r="K57" s="198">
        <f>GETPIVOTDATA("Сумма по полю Оплаченная сумма по задолженности на начало года",'[1]СВОД с расшиф'!$A$5,"Округ","УФО","Наименование территории","ТЮМЕНСКАЯ ОБЛАСТЬ")</f>
        <v>322312.75</v>
      </c>
      <c r="L57" s="199">
        <f>GETPIVOTDATA("Сумма по полю Оплаченная сумма по  выставленным счетам в отчетном периоде",'[1]СВОД с расшиф'!$A$5,"Округ","УФО","Наименование территории","ТЮМЕНСКАЯ ОБЛАСТЬ")</f>
        <v>302068.51</v>
      </c>
      <c r="M57" s="199">
        <f>GETPIVOTDATA("Сумма по полю Оплаченная сумма за предыдущие  периоды",'[1]СВОД с расшиф'!$A$5,"Округ","УФО","Наименование территории","ТЮМЕНСКАЯ ОБЛАСТЬ")</f>
        <v>0</v>
      </c>
      <c r="N57" s="200">
        <f t="shared" si="1"/>
        <v>0</v>
      </c>
      <c r="O57" s="152">
        <f t="shared" si="22"/>
        <v>0</v>
      </c>
      <c r="P57" s="198">
        <f>GETPIVOTDATA("Сумма по полю Сумма отклонения по  счетам задолженности на начало года",'[1]СВОД с расшиф'!$A$5,"Округ","УФО","Наименование территории","ТЮМЕНСКАЯ ОБЛАСТЬ")</f>
        <v>0</v>
      </c>
      <c r="Q57" s="198">
        <f>GETPIVOTDATA("Сумма по полю Сумма отклонения по дешкам задолженности на начало года",'[1]СВОД с расшиф'!$A$5,"Округ","УФО","Наименование территории","ТЮМЕНСКАЯ ОБЛАСТЬ")</f>
        <v>0</v>
      </c>
      <c r="R57" s="198">
        <f>GETPIVOTDATA("Сумма по полю Повтороное отклонение по дешкам задолженности на начало года",'[1]СВОД с расшиф'!$A$5,"Округ","УФО","Наименование территории","ТЮМЕНСКАЯ ОБЛАСТЬ")</f>
        <v>0</v>
      </c>
      <c r="S57" s="199">
        <f>GETPIVOTDATA("Сумма по полю Сумма отклонения по  выставленным счетам в отчетном периоде",'[1]СВОД с расшиф'!$A$5,"Округ","УФО","Наименование территории","ТЮМЕНСКАЯ ОБЛАСТЬ")</f>
        <v>0</v>
      </c>
      <c r="T57" s="198">
        <f>GETPIVOTDATA("Сумма по полю Сумма отклонения по  выставленным счетам в отчетном периоде по дешкам",'[1]СВОД с расшиф'!$A$5,"Округ","УФО","Наименование территории","ТЮМЕНСКАЯ ОБЛАСТЬ")</f>
        <v>0</v>
      </c>
      <c r="U57" s="198">
        <f>GETPIVOTDATA("Сумма по полю Повторное отклонение по дешкам отчетного периода",'[1]СВОД с расшиф'!$A$5,"Округ","УФО","Наименование территории","ТЮМЕНСКАЯ ОБЛАСТЬ")</f>
        <v>0</v>
      </c>
      <c r="V57" s="198">
        <f>GETPIVOTDATA("Сумма по полю Сумма отклонения по  выставленным счетам за предыдущие периоды",'[1]СВОД с расшиф'!$A$5,"Округ","УФО","Наименование территории","ТЮМЕНСКАЯ ОБЛАСТЬ")</f>
        <v>0</v>
      </c>
      <c r="W57" s="152">
        <f>GETPIVOTDATA("Сумма по полю Задолженность по счету",'[1]СВОД с расшиф'!$A$5,"Округ","УФО","Наименование территории","ТЮМЕНСКАЯ ОБЛАСТЬ")</f>
        <v>7004.84</v>
      </c>
      <c r="X57" s="152">
        <f t="shared" si="2"/>
        <v>7004.8400000000838</v>
      </c>
      <c r="Y57" s="152">
        <f t="shared" si="3"/>
        <v>-8.3673512563109398E-11</v>
      </c>
      <c r="Z57" s="152">
        <f t="shared" si="4"/>
        <v>7004.8400000000838</v>
      </c>
      <c r="AA57" s="152">
        <v>38968.029999999992</v>
      </c>
      <c r="AB57" s="152">
        <f t="shared" si="5"/>
        <v>-31963.189999999908</v>
      </c>
      <c r="AC57" s="152">
        <f t="shared" si="6"/>
        <v>7004.8400000000838</v>
      </c>
      <c r="AD57" s="152">
        <f t="shared" si="7"/>
        <v>-8.3673512563109398E-11</v>
      </c>
    </row>
    <row r="58" spans="1:30">
      <c r="A58" s="131"/>
      <c r="B58" s="151" t="s">
        <v>65</v>
      </c>
      <c r="C58" s="198">
        <v>106096.48</v>
      </c>
      <c r="D58" s="198">
        <f>GETPIVOTDATA("Сумма по полю Сумма задолженности на начало года",'[1]СВОД с расшиф'!$A$5,"Округ","УФО","Наименование территории","ХАНТЫ-МАНСИЙСКИЙ АО")</f>
        <v>106096.48</v>
      </c>
      <c r="E58" s="152">
        <f t="shared" si="21"/>
        <v>186710.58</v>
      </c>
      <c r="F58" s="198">
        <f>GETPIVOTDATA("Сумма по полю Сумма задолженности на начало года повторно выставленные",'[1]СВОД с расшиф'!$A$5,"Округ","УФО","Наименование территории","ХАНТЫ-МАНСИЙСКИЙ АО")</f>
        <v>0</v>
      </c>
      <c r="G58" s="199">
        <f>GETPIVOTDATA("Сумма по полю Сумма выставленного счета в отчетном периоде",'[1]СВОД с расшиф'!$A$5,"Округ","УФО","Наименование территории","ХАНТЫ-МАНСИЙСКИЙ АО")</f>
        <v>186710.58</v>
      </c>
      <c r="H58" s="198">
        <f>GETPIVOTDATA("Сумма по полю Сумма повторно выставленного счета в отчетном периоде",'[1]СВОД с расшиф'!$A$5,"Округ","УФО","Наименование территории","ХАНТЫ-МАНСИЙСКИЙ АО")</f>
        <v>0</v>
      </c>
      <c r="I58" s="198">
        <f>GETPIVOTDATA("Сумма по полю Сумма выставленного за предыдущие периоды",'[1]СВОД с расшиф'!$A$5,"Округ","УФО","Наименование территории","ХАНТЫ-МАНСИЙСКИЙ АО")</f>
        <v>0</v>
      </c>
      <c r="J58" s="152">
        <f t="shared" si="8"/>
        <v>150293.5</v>
      </c>
      <c r="K58" s="198">
        <f>GETPIVOTDATA("Сумма по полю Оплаченная сумма по задолженности на начало года",'[1]СВОД с расшиф'!$A$5,"Округ","УФО","Наименование территории","ХАНТЫ-МАНСИЙСКИЙ АО")</f>
        <v>106096.48</v>
      </c>
      <c r="L58" s="199">
        <f>GETPIVOTDATA("Сумма по полю Оплаченная сумма по  выставленным счетам в отчетном периоде",'[1]СВОД с расшиф'!$A$5,"Округ","УФО","Наименование территории","ХАНТЫ-МАНСИЙСКИЙ АО")</f>
        <v>44197.02</v>
      </c>
      <c r="M58" s="199">
        <f>GETPIVOTDATA("Сумма по полю Оплаченная сумма за предыдущие  периоды",'[1]СВОД с расшиф'!$A$5,"Округ","УФО","Наименование территории","ХАНТЫ-МАНСИЙСКИЙ АО")</f>
        <v>0</v>
      </c>
      <c r="N58" s="200">
        <f t="shared" si="1"/>
        <v>0</v>
      </c>
      <c r="O58" s="152">
        <f t="shared" si="22"/>
        <v>0</v>
      </c>
      <c r="P58" s="198">
        <f>GETPIVOTDATA("Сумма по полю Сумма отклонения по  счетам задолженности на начало года",'[1]СВОД с расшиф'!$A$5,"Округ","УФО","Наименование территории","ХАНТЫ-МАНСИЙСКИЙ АО")</f>
        <v>0</v>
      </c>
      <c r="Q58" s="198">
        <f>GETPIVOTDATA("Сумма по полю Сумма отклонения по дешкам задолженности на начало года",'[1]СВОД с расшиф'!$A$5,"Округ","УФО","Наименование территории","ХАНТЫ-МАНСИЙСКИЙ АО")</f>
        <v>0</v>
      </c>
      <c r="R58" s="198">
        <f>GETPIVOTDATA("Сумма по полю Повтороное отклонение по дешкам задолженности на начало года",'[1]СВОД с расшиф'!$A$5,"Округ","УФО","Наименование территории","ХАНТЫ-МАНСИЙСКИЙ АО")</f>
        <v>0</v>
      </c>
      <c r="S58" s="199">
        <f>GETPIVOTDATA("Сумма по полю Сумма отклонения по  выставленным счетам в отчетном периоде",'[1]СВОД с расшиф'!$A$5,"Округ","УФО","Наименование территории","ХАНТЫ-МАНСИЙСКИЙ АО")</f>
        <v>0</v>
      </c>
      <c r="T58" s="198">
        <f>GETPIVOTDATA("Сумма по полю Сумма отклонения по  выставленным счетам в отчетном периоде по дешкам",'[1]СВОД с расшиф'!$A$5,"Округ","УФО","Наименование территории","ХАНТЫ-МАНСИЙСКИЙ АО")</f>
        <v>0</v>
      </c>
      <c r="U58" s="198">
        <f>GETPIVOTDATA("Сумма по полю Повторное отклонение по дешкам отчетного периода",'[1]СВОД с расшиф'!$A$5,"Округ","УФО","Наименование территории","ХАНТЫ-МАНСИЙСКИЙ АО")</f>
        <v>0</v>
      </c>
      <c r="V58" s="198">
        <f>GETPIVOTDATA("Сумма по полю Сумма отклонения по  выставленным счетам за предыдущие периоды",'[1]СВОД с расшиф'!$A$5,"Округ","УФО","Наименование территории","ХАНТЫ-МАНСИЙСКИЙ АО")</f>
        <v>0</v>
      </c>
      <c r="W58" s="152">
        <f>GETPIVOTDATA("Сумма по полю Задолженность по счету",'[1]СВОД с расшиф'!$A$5,"Округ","УФО","Наименование территории","ХАНТЫ-МАНСИЙСКИЙ АО")</f>
        <v>142513.56</v>
      </c>
      <c r="X58" s="152">
        <f t="shared" si="2"/>
        <v>142513.56</v>
      </c>
      <c r="Y58" s="152">
        <f t="shared" si="3"/>
        <v>0</v>
      </c>
      <c r="Z58" s="152">
        <f t="shared" si="4"/>
        <v>142513.56</v>
      </c>
      <c r="AA58" s="152">
        <v>238723.62999999998</v>
      </c>
      <c r="AB58" s="152">
        <f t="shared" si="5"/>
        <v>-96210.069999999978</v>
      </c>
      <c r="AC58" s="152">
        <f t="shared" si="6"/>
        <v>142513.56000000003</v>
      </c>
      <c r="AD58" s="152">
        <f t="shared" si="7"/>
        <v>0</v>
      </c>
    </row>
    <row r="59" spans="1:30">
      <c r="A59" s="131"/>
      <c r="B59" s="151" t="s">
        <v>66</v>
      </c>
      <c r="C59" s="198">
        <v>13923.8</v>
      </c>
      <c r="D59" s="198">
        <f>GETPIVOTDATA("Сумма по полю Сумма задолженности на начало года",'[1]СВОД с расшиф'!$A$5,"Округ","УФО","Наименование территории","ЧЕЛЯБИНСКАЯ ОБЛАСТЬ")</f>
        <v>13923.8</v>
      </c>
      <c r="E59" s="152">
        <f t="shared" si="21"/>
        <v>153180.83000000002</v>
      </c>
      <c r="F59" s="198">
        <f>GETPIVOTDATA("Сумма по полю Сумма задолженности на начало года повторно выставленные",'[1]СВОД с расшиф'!$A$5,"Округ","УФО","Наименование территории","ЧЕЛЯБИНСКАЯ ОБЛАСТЬ")</f>
        <v>0</v>
      </c>
      <c r="G59" s="199">
        <f>GETPIVOTDATA("Сумма по полю Сумма выставленного счета в отчетном периоде",'[1]СВОД с расшиф'!$A$5,"Округ","УФО","Наименование территории","ЧЕЛЯБИНСКАЯ ОБЛАСТЬ")</f>
        <v>153180.83000000002</v>
      </c>
      <c r="H59" s="198">
        <f>GETPIVOTDATA("Сумма по полю Сумма повторно выставленного счета в отчетном периоде",'[1]СВОД с расшиф'!$A$5,"Округ","УФО","Наименование территории","ЧЕЛЯБИНСКАЯ ОБЛАСТЬ")</f>
        <v>0</v>
      </c>
      <c r="I59" s="198">
        <f>GETPIVOTDATA("Сумма по полю Сумма выставленного за предыдущие периоды",'[1]СВОД с расшиф'!$A$5,"Округ","УФО","Наименование территории","ЧЕЛЯБИНСКАЯ ОБЛАСТЬ")</f>
        <v>0</v>
      </c>
      <c r="J59" s="152">
        <f t="shared" si="8"/>
        <v>86811.22</v>
      </c>
      <c r="K59" s="198">
        <f>GETPIVOTDATA("Сумма по полю Оплаченная сумма по задолженности на начало года",'[1]СВОД с расшиф'!$A$5,"Округ","УФО","Наименование территории","ЧЕЛЯБИНСКАЯ ОБЛАСТЬ")</f>
        <v>13923.8</v>
      </c>
      <c r="L59" s="199">
        <f>GETPIVOTDATA("Сумма по полю Оплаченная сумма по  выставленным счетам в отчетном периоде",'[1]СВОД с расшиф'!$A$5,"Округ","УФО","Наименование территории","ЧЕЛЯБИНСКАЯ ОБЛАСТЬ")</f>
        <v>72887.42</v>
      </c>
      <c r="M59" s="199">
        <f>GETPIVOTDATA("Сумма по полю Оплаченная сумма за предыдущие  периоды",'[1]СВОД с расшиф'!$A$5,"Округ","УФО","Наименование территории","ЧЕЛЯБИНСКАЯ ОБЛАСТЬ")</f>
        <v>0</v>
      </c>
      <c r="N59" s="200">
        <f t="shared" si="1"/>
        <v>0</v>
      </c>
      <c r="O59" s="152">
        <f t="shared" si="22"/>
        <v>0</v>
      </c>
      <c r="P59" s="198">
        <f>GETPIVOTDATA("Сумма по полю Сумма отклонения по  счетам задолженности на начало года",'[1]СВОД с расшиф'!$A$5,"Округ","УФО","Наименование территории","ЧЕЛЯБИНСКАЯ ОБЛАСТЬ")</f>
        <v>0</v>
      </c>
      <c r="Q59" s="198">
        <f>GETPIVOTDATA("Сумма по полю Сумма отклонения по дешкам задолженности на начало года",'[1]СВОД с расшиф'!$A$5,"Округ","УФО","Наименование территории","ЧЕЛЯБИНСКАЯ ОБЛАСТЬ")</f>
        <v>0</v>
      </c>
      <c r="R59" s="198">
        <f>GETPIVOTDATA("Сумма по полю Повтороное отклонение по дешкам задолженности на начало года",'[1]СВОД с расшиф'!$A$5,"Округ","УФО","Наименование территории","ЧЕЛЯБИНСКАЯ ОБЛАСТЬ")</f>
        <v>0</v>
      </c>
      <c r="S59" s="199">
        <f>GETPIVOTDATA("Сумма по полю Сумма отклонения по  выставленным счетам в отчетном периоде",'[1]СВОД с расшиф'!$A$5,"Округ","УФО","Наименование территории","ЧЕЛЯБИНСКАЯ ОБЛАСТЬ")</f>
        <v>0</v>
      </c>
      <c r="T59" s="198">
        <f>GETPIVOTDATA("Сумма по полю Сумма отклонения по  выставленным счетам в отчетном периоде по дешкам",'[1]СВОД с расшиф'!$A$5,"Округ","УФО","Наименование территории","ЧЕЛЯБИНСКАЯ ОБЛАСТЬ")</f>
        <v>0</v>
      </c>
      <c r="U59" s="198">
        <f>GETPIVOTDATA("Сумма по полю Повторное отклонение по дешкам отчетного периода",'[1]СВОД с расшиф'!$A$5,"Округ","УФО","Наименование территории","ЧЕЛЯБИНСКАЯ ОБЛАСТЬ")</f>
        <v>0</v>
      </c>
      <c r="V59" s="198">
        <f>GETPIVOTDATA("Сумма по полю Сумма отклонения по  выставленным счетам за предыдущие периоды",'[1]СВОД с расшиф'!$A$5,"Округ","УФО","Наименование территории","ЧЕЛЯБИНСКАЯ ОБЛАСТЬ")</f>
        <v>0</v>
      </c>
      <c r="W59" s="152">
        <f>GETPIVOTDATA("Сумма по полю Задолженность по счету",'[1]СВОД с расшиф'!$A$5,"Округ","УФО","Наименование территории","ЧЕЛЯБИНСКАЯ ОБЛАСТЬ")</f>
        <v>80293.41</v>
      </c>
      <c r="X59" s="152">
        <f t="shared" si="2"/>
        <v>80293.41</v>
      </c>
      <c r="Y59" s="152">
        <f t="shared" si="3"/>
        <v>0</v>
      </c>
      <c r="Z59" s="152">
        <f t="shared" si="4"/>
        <v>80293.41</v>
      </c>
      <c r="AA59" s="152">
        <v>46903.709999999963</v>
      </c>
      <c r="AB59" s="152">
        <f t="shared" si="5"/>
        <v>33389.700000000041</v>
      </c>
      <c r="AC59" s="152">
        <f t="shared" si="6"/>
        <v>80293.410000000018</v>
      </c>
      <c r="AD59" s="152">
        <f t="shared" si="7"/>
        <v>0</v>
      </c>
    </row>
    <row r="60" spans="1:30">
      <c r="A60" s="131"/>
      <c r="B60" s="151" t="s">
        <v>67</v>
      </c>
      <c r="C60" s="198">
        <v>0</v>
      </c>
      <c r="D60" s="198">
        <f>GETPIVOTDATA("Сумма по полю Сумма задолженности на начало года",'[1]СВОД с расшиф'!$A$5,"Округ","УФО","Наименование территории","ЯМАЛО-НЕНЕЦКИЙ АО")</f>
        <v>0</v>
      </c>
      <c r="E60" s="152">
        <f t="shared" si="21"/>
        <v>87926.48</v>
      </c>
      <c r="F60" s="198">
        <f>GETPIVOTDATA("Сумма по полю Сумма задолженности на начало года повторно выставленные",'[1]СВОД с расшиф'!$A$5,"Округ","УФО","Наименование территории","ЯМАЛО-НЕНЕЦКИЙ АО")</f>
        <v>0</v>
      </c>
      <c r="G60" s="199">
        <f>GETPIVOTDATA("Сумма по полю Сумма выставленного счета в отчетном периоде",'[1]СВОД с расшиф'!$A$5,"Округ","УФО","Наименование территории","ЯМАЛО-НЕНЕЦКИЙ АО")</f>
        <v>87926.48</v>
      </c>
      <c r="H60" s="198">
        <f>GETPIVOTDATA("Сумма по полю Сумма повторно выставленного счета в отчетном периоде",'[1]СВОД с расшиф'!$A$5,"Округ","УФО","Наименование территории","ЯМАЛО-НЕНЕЦКИЙ АО")</f>
        <v>0</v>
      </c>
      <c r="I60" s="198">
        <f>GETPIVOTDATA("Сумма по полю Сумма выставленного за предыдущие периоды",'[1]СВОД с расшиф'!$A$5,"Округ","УФО","Наименование территории","ЯМАЛО-НЕНЕЦКИЙ АО")</f>
        <v>0</v>
      </c>
      <c r="J60" s="152">
        <f t="shared" si="8"/>
        <v>28560.48</v>
      </c>
      <c r="K60" s="198">
        <f>GETPIVOTDATA("Сумма по полю Оплаченная сумма по задолженности на начало года",'[1]СВОД с расшиф'!$A$5,"Округ","УФО","Наименование территории","ЯМАЛО-НЕНЕЦКИЙ АО")</f>
        <v>0</v>
      </c>
      <c r="L60" s="199">
        <f>GETPIVOTDATA("Сумма по полю Оплаченная сумма по  выставленным счетам в отчетном периоде",'[1]СВОД с расшиф'!$A$5,"Округ","УФО","Наименование территории","ЯМАЛО-НЕНЕЦКИЙ АО")</f>
        <v>28560.48</v>
      </c>
      <c r="M60" s="199">
        <f>GETPIVOTDATA("Сумма по полю Оплаченная сумма за предыдущие  периоды",'[1]СВОД с расшиф'!$A$5,"Округ","УФО","Наименование территории","ЯМАЛО-НЕНЕЦКИЙ АО")</f>
        <v>0</v>
      </c>
      <c r="N60" s="200">
        <f t="shared" si="1"/>
        <v>0</v>
      </c>
      <c r="O60" s="152">
        <f t="shared" si="22"/>
        <v>0</v>
      </c>
      <c r="P60" s="198">
        <f>GETPIVOTDATA("Сумма по полю Сумма отклонения по  счетам задолженности на начало года",'[1]СВОД с расшиф'!$A$5,"Округ","УФО","Наименование территории","ЯМАЛО-НЕНЕЦКИЙ АО")</f>
        <v>0</v>
      </c>
      <c r="Q60" s="198">
        <f>GETPIVOTDATA("Сумма по полю Сумма отклонения по дешкам задолженности на начало года",'[1]СВОД с расшиф'!$A$5,"Округ","УФО","Наименование территории","ЯМАЛО-НЕНЕЦКИЙ АО")</f>
        <v>0</v>
      </c>
      <c r="R60" s="198">
        <f>GETPIVOTDATA("Сумма по полю Повтороное отклонение по дешкам задолженности на начало года",'[1]СВОД с расшиф'!$A$5,"Округ","УФО","Наименование территории","ЯМАЛО-НЕНЕЦКИЙ АО")</f>
        <v>0</v>
      </c>
      <c r="S60" s="199">
        <f>GETPIVOTDATA("Сумма по полю Сумма отклонения по  выставленным счетам в отчетном периоде",'[1]СВОД с расшиф'!$A$5,"Округ","УФО","Наименование территории","ЯМАЛО-НЕНЕЦКИЙ АО")</f>
        <v>0</v>
      </c>
      <c r="T60" s="198">
        <f>GETPIVOTDATA("Сумма по полю Сумма отклонения по  выставленным счетам в отчетном периоде по дешкам",'[1]СВОД с расшиф'!$A$5,"Округ","УФО","Наименование территории","ЯМАЛО-НЕНЕЦКИЙ АО")</f>
        <v>0</v>
      </c>
      <c r="U60" s="198">
        <f>GETPIVOTDATA("Сумма по полю Повторное отклонение по дешкам отчетного периода",'[1]СВОД с расшиф'!$A$5,"Округ","УФО","Наименование территории","ЯМАЛО-НЕНЕЦКИЙ АО")</f>
        <v>0</v>
      </c>
      <c r="V60" s="198">
        <f>GETPIVOTDATA("Сумма по полю Сумма отклонения по  выставленным счетам за предыдущие периоды",'[1]СВОД с расшиф'!$A$5,"Округ","УФО","Наименование территории","ЯМАЛО-НЕНЕЦКИЙ АО")</f>
        <v>0</v>
      </c>
      <c r="W60" s="152">
        <f>GETPIVOTDATA("Сумма по полю Задолженность по счету",'[1]СВОД с расшиф'!$A$5,"Округ","УФО","Наименование территории","ЯМАЛО-НЕНЕЦКИЙ АО")</f>
        <v>59366</v>
      </c>
      <c r="X60" s="152">
        <f t="shared" si="2"/>
        <v>59366</v>
      </c>
      <c r="Y60" s="152">
        <f t="shared" si="3"/>
        <v>0</v>
      </c>
      <c r="Z60" s="152">
        <f t="shared" si="4"/>
        <v>59366</v>
      </c>
      <c r="AA60" s="152">
        <v>133275</v>
      </c>
      <c r="AB60" s="152">
        <f t="shared" si="5"/>
        <v>-73909</v>
      </c>
      <c r="AC60" s="152">
        <f t="shared" si="6"/>
        <v>59366</v>
      </c>
      <c r="AD60" s="152">
        <f t="shared" si="7"/>
        <v>0</v>
      </c>
    </row>
    <row r="61" spans="1:30">
      <c r="A61" s="153" t="s">
        <v>130</v>
      </c>
      <c r="B61" s="154"/>
      <c r="C61" s="201">
        <f>SUM(C55:C60)</f>
        <v>516044.20999999996</v>
      </c>
      <c r="D61" s="202">
        <f>SUM(D55:D60)</f>
        <v>516044.20999999996</v>
      </c>
      <c r="E61" s="155">
        <f>SUM(E55:E60)</f>
        <v>1280051.48</v>
      </c>
      <c r="F61" s="202">
        <f>SUM(F55:F60)</f>
        <v>0</v>
      </c>
      <c r="G61" s="202">
        <f>SUM(G55:G60)</f>
        <v>1280051.48</v>
      </c>
      <c r="H61" s="202">
        <f t="shared" ref="H61:W61" si="23">SUM(H55:H60)</f>
        <v>0</v>
      </c>
      <c r="I61" s="202">
        <f t="shared" si="23"/>
        <v>0</v>
      </c>
      <c r="J61" s="155">
        <f t="shared" si="23"/>
        <v>1247305.43</v>
      </c>
      <c r="K61" s="202">
        <f t="shared" si="23"/>
        <v>516044.20999999996</v>
      </c>
      <c r="L61" s="202">
        <f t="shared" si="23"/>
        <v>731261.22000000009</v>
      </c>
      <c r="M61" s="202">
        <f t="shared" si="23"/>
        <v>0</v>
      </c>
      <c r="N61" s="203">
        <f t="shared" si="1"/>
        <v>0</v>
      </c>
      <c r="O61" s="185">
        <f>SUM(O55:O60)</f>
        <v>0</v>
      </c>
      <c r="P61" s="202">
        <f t="shared" si="23"/>
        <v>0</v>
      </c>
      <c r="Q61" s="202">
        <f t="shared" si="23"/>
        <v>0</v>
      </c>
      <c r="R61" s="202">
        <f t="shared" si="23"/>
        <v>0</v>
      </c>
      <c r="S61" s="202">
        <f t="shared" si="23"/>
        <v>0</v>
      </c>
      <c r="T61" s="202">
        <f t="shared" si="23"/>
        <v>0</v>
      </c>
      <c r="U61" s="202">
        <f t="shared" si="23"/>
        <v>0</v>
      </c>
      <c r="V61" s="202">
        <f t="shared" si="23"/>
        <v>0</v>
      </c>
      <c r="W61" s="155">
        <f t="shared" si="23"/>
        <v>548790.26</v>
      </c>
      <c r="X61" s="204">
        <f t="shared" si="2"/>
        <v>548790.26</v>
      </c>
      <c r="Y61" s="204">
        <f t="shared" si="3"/>
        <v>0</v>
      </c>
      <c r="Z61" s="155">
        <f t="shared" si="4"/>
        <v>548790.26</v>
      </c>
      <c r="AA61" s="155">
        <v>1362019.4299999997</v>
      </c>
      <c r="AB61" s="155">
        <f t="shared" si="5"/>
        <v>-813229.16999999969</v>
      </c>
      <c r="AC61" s="155">
        <f t="shared" si="6"/>
        <v>548790.25999999989</v>
      </c>
      <c r="AD61" s="155">
        <f t="shared" si="7"/>
        <v>0</v>
      </c>
    </row>
    <row r="62" spans="1:30">
      <c r="A62" s="131" t="s">
        <v>131</v>
      </c>
      <c r="B62" s="151" t="s">
        <v>1</v>
      </c>
      <c r="C62" s="198">
        <v>154621.22</v>
      </c>
      <c r="D62" s="198">
        <f>GETPIVOTDATA("Сумма по полю Сумма задолженности на начало года",'[1]СВОД с расшиф'!$A$5,"Округ","ЦФО","Наименование территории","БЕЛГОРОДСКАЯ ОБЛАСТЬ")</f>
        <v>154621.22</v>
      </c>
      <c r="E62" s="152">
        <f>F62+G62+H62+I62</f>
        <v>170788.92</v>
      </c>
      <c r="F62" s="198">
        <f>GETPIVOTDATA("Сумма по полю Сумма задолженности на начало года повторно выставленные",'[1]СВОД с расшиф'!$A$5,"Округ","ЦФО","Наименование территории","БЕЛГОРОДСКАЯ ОБЛАСТЬ")</f>
        <v>0</v>
      </c>
      <c r="G62" s="199">
        <f>GETPIVOTDATA("Сумма по полю Сумма выставленного счета в отчетном периоде",'[1]СВОД с расшиф'!$A$5,"Округ","ЦФО","Наименование территории","БЕЛГОРОДСКАЯ ОБЛАСТЬ")</f>
        <v>170788.92</v>
      </c>
      <c r="H62" s="198">
        <f>GETPIVOTDATA("Сумма по полю Сумма повторно выставленного счета в отчетном периоде",'[1]СВОД с расшиф'!$A$5,"Округ","ЦФО","Наименование территории","БЕЛГОРОДСКАЯ ОБЛАСТЬ")</f>
        <v>0</v>
      </c>
      <c r="I62" s="198">
        <f>GETPIVOTDATA("Сумма по полю Сумма выставленного за предыдущие периоды",'[1]СВОД с расшиф'!$A$5,"Округ","ЦФО","Наименование территории","БЕЛГОРОДСКАЯ ОБЛАСТЬ")</f>
        <v>0</v>
      </c>
      <c r="J62" s="152">
        <f t="shared" si="8"/>
        <v>260165.71000000002</v>
      </c>
      <c r="K62" s="198">
        <f>GETPIVOTDATA("Сумма по полю Оплаченная сумма по задолженности на начало года",'[1]СВОД с расшиф'!$A$5,"Округ","ЦФО","Наименование территории","БЕЛГОРОДСКАЯ ОБЛАСТЬ")</f>
        <v>154621.22</v>
      </c>
      <c r="L62" s="199">
        <f>GETPIVOTDATA("Сумма по полю Оплаченная сумма по  выставленным счетам в отчетном периоде",'[1]СВОД с расшиф'!$A$5,"Округ","ЦФО","Наименование территории","БЕЛГОРОДСКАЯ ОБЛАСТЬ")</f>
        <v>105544.49</v>
      </c>
      <c r="M62" s="199">
        <f>GETPIVOTDATA("Сумма по полю Оплаченная сумма за предыдущие  периоды",'[1]СВОД с расшиф'!$A$5,"Округ","ЦФО","Наименование территории","БЕЛГОРОДСКАЯ ОБЛАСТЬ")</f>
        <v>0</v>
      </c>
      <c r="N62" s="200">
        <f t="shared" si="1"/>
        <v>0</v>
      </c>
      <c r="O62" s="152">
        <f>P62+Q62+R62+S62+T62+U62+V62</f>
        <v>0</v>
      </c>
      <c r="P62" s="198">
        <f>GETPIVOTDATA("Сумма по полю Сумма отклонения по  счетам задолженности на начало года",'[1]СВОД с расшиф'!$A$5,"Округ","ЦФО","Наименование территории","БЕЛГОРОДСКАЯ ОБЛАСТЬ")</f>
        <v>0</v>
      </c>
      <c r="Q62" s="198">
        <f>GETPIVOTDATA("Сумма по полю Сумма отклонения по дешкам задолженности на начало года",'[1]СВОД с расшиф'!$A$5,"Округ","ЦФО","Наименование территории","БЕЛГОРОДСКАЯ ОБЛАСТЬ")</f>
        <v>0</v>
      </c>
      <c r="R62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территории","БЕЛГОРОДСКАЯ ОБЛАСТЬ")</f>
        <v>0</v>
      </c>
      <c r="S62" s="199">
        <f>GETPIVOTDATA("Сумма по полю Сумма отклонения по  выставленным счетам в отчетном периоде",'[1]СВОД с расшиф'!$A$5,"Округ","ЦФО","Наименование территории","БЕЛГОРОДСКАЯ ОБЛАСТЬ")</f>
        <v>0</v>
      </c>
      <c r="T62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территории","БЕЛГОРОДСКАЯ ОБЛАСТЬ")</f>
        <v>0</v>
      </c>
      <c r="U62" s="198">
        <f>GETPIVOTDATA("Сумма по полю Повторное отклонение по дешкам отчетного периода",'[1]СВОД с расшиф'!$A$5,"Округ","ЦФО","Наименование территории","БЕЛГОРОДСКАЯ ОБЛАСТЬ")</f>
        <v>0</v>
      </c>
      <c r="V62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территории","БЕЛГОРОДСКАЯ ОБЛАСТЬ")</f>
        <v>0</v>
      </c>
      <c r="W62" s="152">
        <f>GETPIVOTDATA("Сумма по полю Задолженность по счету",'[1]СВОД с расшиф'!$A$5,"Округ","ЦФО","Наименование территории","БЕЛГОРОДСКАЯ ОБЛАСТЬ")</f>
        <v>65244.43</v>
      </c>
      <c r="X62" s="152">
        <f t="shared" si="2"/>
        <v>65244.429999999993</v>
      </c>
      <c r="Y62" s="152">
        <f t="shared" si="3"/>
        <v>0</v>
      </c>
      <c r="Z62" s="152">
        <f t="shared" si="4"/>
        <v>65244.429999999993</v>
      </c>
      <c r="AA62" s="152">
        <v>47640.480000000003</v>
      </c>
      <c r="AB62" s="152">
        <f t="shared" si="5"/>
        <v>17603.94999999999</v>
      </c>
      <c r="AC62" s="152">
        <f t="shared" si="6"/>
        <v>65244.430000000008</v>
      </c>
      <c r="AD62" s="152">
        <f t="shared" si="7"/>
        <v>0</v>
      </c>
    </row>
    <row r="63" spans="1:30">
      <c r="A63" s="131"/>
      <c r="B63" s="151" t="s">
        <v>2</v>
      </c>
      <c r="C63" s="198">
        <v>0</v>
      </c>
      <c r="D63" s="198">
        <f>GETPIVOTDATA("Сумма по полю Сумма задолженности на начало года",'[1]СВОД с расшиф'!$A$5,"Округ","ЦФО","Наименование территории","БРЯНСКАЯ ОБЛАСТЬ")</f>
        <v>0</v>
      </c>
      <c r="E63" s="152">
        <f t="shared" ref="E63:E79" si="24">F63+G63+H63+I63</f>
        <v>82313.59</v>
      </c>
      <c r="F63" s="198">
        <f>GETPIVOTDATA("Сумма по полю Сумма задолженности на начало года повторно выставленные",'[1]СВОД с расшиф'!$A$5,"Округ","ЦФО","Наименование территории","БРЯНСКАЯ ОБЛАСТЬ")</f>
        <v>0</v>
      </c>
      <c r="G63" s="199">
        <f>GETPIVOTDATA("Сумма по полю Сумма выставленного счета в отчетном периоде",'[1]СВОД с расшиф'!$A$5,"Округ","ЦФО","Наименование территории","БРЯНСКАЯ ОБЛАСТЬ")</f>
        <v>82313.59</v>
      </c>
      <c r="H63" s="198">
        <f>GETPIVOTDATA("Сумма по полю Сумма повторно выставленного счета в отчетном периоде",'[1]СВОД с расшиф'!$A$5,"Округ","ЦФО","Наименование территории","БРЯНСКАЯ ОБЛАСТЬ")</f>
        <v>0</v>
      </c>
      <c r="I63" s="198">
        <f>GETPIVOTDATA("Сумма по полю Сумма выставленного за предыдущие периоды",'[1]СВОД с расшиф'!$A$5,"Округ","ЦФО","Наименование территории","БРЯНСКАЯ ОБЛАСТЬ")</f>
        <v>0</v>
      </c>
      <c r="J63" s="152">
        <f t="shared" si="8"/>
        <v>57936.37</v>
      </c>
      <c r="K63" s="198">
        <f>GETPIVOTDATA("Сумма по полю Оплаченная сумма по задолженности на начало года",'[1]СВОД с расшиф'!$A$5,"Округ","ЦФО","Наименование территории","БРЯНСКАЯ ОБЛАСТЬ")</f>
        <v>0</v>
      </c>
      <c r="L63" s="199">
        <f>GETPIVOTDATA("Сумма по полю Оплаченная сумма по  выставленным счетам в отчетном периоде",'[1]СВОД с расшиф'!$A$5,"Округ","ЦФО","Наименование территории","БРЯНСКАЯ ОБЛАСТЬ")</f>
        <v>57936.37</v>
      </c>
      <c r="M63" s="199">
        <f>GETPIVOTDATA("Сумма по полю Оплаченная сумма за предыдущие  периоды",'[1]СВОД с расшиф'!$A$5,"Округ","ЦФО","Наименование территории","БРЯНСКАЯ ОБЛАСТЬ")</f>
        <v>0</v>
      </c>
      <c r="N63" s="200">
        <f t="shared" si="1"/>
        <v>0</v>
      </c>
      <c r="O63" s="152">
        <f t="shared" ref="O63:O79" si="25">P63+Q63+R63+S63+T63+U63+V63</f>
        <v>0</v>
      </c>
      <c r="P63" s="198">
        <f>GETPIVOTDATA("Сумма по полю Сумма отклонения по  счетам задолженности на начало года",'[1]СВОД с расшиф'!$A$5,"Округ","ЦФО","Наименование территории","БРЯНСКАЯ ОБЛАСТЬ")</f>
        <v>0</v>
      </c>
      <c r="Q63" s="198">
        <f>GETPIVOTDATA("Сумма по полю Сумма отклонения по дешкам задолженности на начало года",'[1]СВОД с расшиф'!$A$5,"Округ","ЦФО","Наименование территории","БРЯНСКАЯ ОБЛАСТЬ")</f>
        <v>0</v>
      </c>
      <c r="R63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территории","БРЯНСКАЯ ОБЛАСТЬ")</f>
        <v>0</v>
      </c>
      <c r="S63" s="199">
        <f>GETPIVOTDATA("Сумма по полю Сумма отклонения по  выставленным счетам в отчетном периоде",'[1]СВОД с расшиф'!$A$5,"Округ","ЦФО","Наименование территории","БРЯНСКАЯ ОБЛАСТЬ")</f>
        <v>0</v>
      </c>
      <c r="T63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территории","БРЯНСКАЯ ОБЛАСТЬ")</f>
        <v>0</v>
      </c>
      <c r="U63" s="198">
        <f>GETPIVOTDATA("Сумма по полю Повторное отклонение по дешкам отчетного периода",'[1]СВОД с расшиф'!$A$5,"Округ","ЦФО","Наименование территории","БРЯНСКАЯ ОБЛАСТЬ")</f>
        <v>0</v>
      </c>
      <c r="V63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территории","БРЯНСКАЯ ОБЛАСТЬ")</f>
        <v>0</v>
      </c>
      <c r="W63" s="152">
        <f>GETPIVOTDATA("Сумма по полю Задолженность по счету",'[1]СВОД с расшиф'!$A$5,"Округ","ЦФО","Наименование территории","БРЯНСКАЯ ОБЛАСТЬ")</f>
        <v>24377.22</v>
      </c>
      <c r="X63" s="152">
        <f t="shared" si="2"/>
        <v>24377.219999999994</v>
      </c>
      <c r="Y63" s="152">
        <f t="shared" si="3"/>
        <v>0</v>
      </c>
      <c r="Z63" s="152">
        <f t="shared" si="4"/>
        <v>24377.219999999994</v>
      </c>
      <c r="AA63" s="152">
        <v>9156.23</v>
      </c>
      <c r="AB63" s="152">
        <f t="shared" si="5"/>
        <v>15220.989999999994</v>
      </c>
      <c r="AC63" s="152">
        <f t="shared" si="6"/>
        <v>24377.219999999994</v>
      </c>
      <c r="AD63" s="152">
        <f t="shared" si="7"/>
        <v>0</v>
      </c>
    </row>
    <row r="64" spans="1:30">
      <c r="A64" s="131"/>
      <c r="B64" s="151" t="s">
        <v>3</v>
      </c>
      <c r="C64" s="198">
        <v>78099.42</v>
      </c>
      <c r="D64" s="198">
        <f>GETPIVOTDATA("Сумма по полю Сумма задолженности на начало года",'[1]СВОД с расшиф'!$A$5,"Округ","ЦФО","Наименование территории","ВЛАДИМИРСКАЯ ОБЛАСТЬ")</f>
        <v>78099.42</v>
      </c>
      <c r="E64" s="152">
        <f t="shared" si="24"/>
        <v>87764.03</v>
      </c>
      <c r="F64" s="198">
        <f>GETPIVOTDATA("Сумма по полю Сумма задолженности на начало года повторно выставленные",'[1]СВОД с расшиф'!$A$5,"Округ","ЦФО","Наименование территории","ВЛАДИМИРСКАЯ ОБЛАСТЬ")</f>
        <v>0</v>
      </c>
      <c r="G64" s="199">
        <f>GETPIVOTDATA("Сумма по полю Сумма выставленного счета в отчетном периоде",'[1]СВОД с расшиф'!$A$5,"Округ","ЦФО","Наименование территории","ВЛАДИМИРСКАЯ ОБЛАСТЬ")</f>
        <v>87764.03</v>
      </c>
      <c r="H64" s="198">
        <f>GETPIVOTDATA("Сумма по полю Сумма повторно выставленного счета в отчетном периоде",'[1]СВОД с расшиф'!$A$5,"Округ","ЦФО","Наименование территории","ВЛАДИМИРСКАЯ ОБЛАСТЬ")</f>
        <v>0</v>
      </c>
      <c r="I64" s="198">
        <f>GETPIVOTDATA("Сумма по полю Сумма выставленного за предыдущие периоды",'[1]СВОД с расшиф'!$A$5,"Округ","ЦФО","Наименование территории","ВЛАДИМИРСКАЯ ОБЛАСТЬ")</f>
        <v>0</v>
      </c>
      <c r="J64" s="152">
        <f t="shared" si="8"/>
        <v>117818.01999999999</v>
      </c>
      <c r="K64" s="198">
        <f>GETPIVOTDATA("Сумма по полю Оплаченная сумма по задолженности на начало года",'[1]СВОД с расшиф'!$A$5,"Округ","ЦФО","Наименование территории","ВЛАДИМИРСКАЯ ОБЛАСТЬ")</f>
        <v>78099.42</v>
      </c>
      <c r="L64" s="199">
        <f>GETPIVOTDATA("Сумма по полю Оплаченная сумма по  выставленным счетам в отчетном периоде",'[1]СВОД с расшиф'!$A$5,"Округ","ЦФО","Наименование территории","ВЛАДИМИРСКАЯ ОБЛАСТЬ")</f>
        <v>39718.6</v>
      </c>
      <c r="M64" s="199">
        <f>GETPIVOTDATA("Сумма по полю Оплаченная сумма за предыдущие  периоды",'[1]СВОД с расшиф'!$A$5,"Округ","ЦФО","Наименование территории","ВЛАДИМИРСКАЯ ОБЛАСТЬ")</f>
        <v>0</v>
      </c>
      <c r="N64" s="200">
        <f t="shared" si="1"/>
        <v>0</v>
      </c>
      <c r="O64" s="152">
        <f t="shared" si="25"/>
        <v>0</v>
      </c>
      <c r="P64" s="198">
        <f>GETPIVOTDATA("Сумма по полю Сумма отклонения по  счетам задолженности на начало года",'[1]СВОД с расшиф'!$A$5,"Округ","ЦФО","Наименование территории","ВЛАДИМИРСКАЯ ОБЛАСТЬ")</f>
        <v>0</v>
      </c>
      <c r="Q64" s="198">
        <f>GETPIVOTDATA("Сумма по полю Сумма отклонения по дешкам задолженности на начало года",'[1]СВОД с расшиф'!$A$5,"Округ","ЦФО","Наименование территории","ВЛАДИМИРСКАЯ ОБЛАСТЬ")</f>
        <v>0</v>
      </c>
      <c r="R64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территории","ВЛАДИМИРСКАЯ ОБЛАСТЬ")</f>
        <v>0</v>
      </c>
      <c r="S64" s="199">
        <f>GETPIVOTDATA("Сумма по полю Сумма отклонения по  выставленным счетам в отчетном периоде",'[1]СВОД с расшиф'!$A$5,"Округ","ЦФО","Наименование территории","ВЛАДИМИРСКАЯ ОБЛАСТЬ")</f>
        <v>0</v>
      </c>
      <c r="T64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территории","ВЛАДИМИРСКАЯ ОБЛАСТЬ")</f>
        <v>0</v>
      </c>
      <c r="U64" s="198">
        <f>GETPIVOTDATA("Сумма по полю Повторное отклонение по дешкам отчетного периода",'[1]СВОД с расшиф'!$A$5,"Округ","ЦФО","Наименование территории","ВЛАДИМИРСКАЯ ОБЛАСТЬ")</f>
        <v>0</v>
      </c>
      <c r="V64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территории","ВЛАДИМИРСКАЯ ОБЛАСТЬ")</f>
        <v>0</v>
      </c>
      <c r="W64" s="152">
        <f>GETPIVOTDATA("Сумма по полю Задолженность по счету",'[1]СВОД с расшиф'!$A$5,"Округ","ЦФО","Наименование территории","ВЛАДИМИРСКАЯ ОБЛАСТЬ")</f>
        <v>48045.43</v>
      </c>
      <c r="X64" s="152">
        <f t="shared" si="2"/>
        <v>48045.430000000022</v>
      </c>
      <c r="Y64" s="152">
        <f t="shared" si="3"/>
        <v>0</v>
      </c>
      <c r="Z64" s="152">
        <f t="shared" si="4"/>
        <v>48045.430000000022</v>
      </c>
      <c r="AA64" s="152">
        <v>72255.879999999845</v>
      </c>
      <c r="AB64" s="152">
        <f t="shared" si="5"/>
        <v>-24210.449999999822</v>
      </c>
      <c r="AC64" s="152">
        <f t="shared" si="6"/>
        <v>48045.430000000015</v>
      </c>
      <c r="AD64" s="152">
        <f t="shared" si="7"/>
        <v>0</v>
      </c>
    </row>
    <row r="65" spans="1:33">
      <c r="A65" s="131"/>
      <c r="B65" s="151" t="s">
        <v>4</v>
      </c>
      <c r="C65" s="198">
        <v>3624500.94</v>
      </c>
      <c r="D65" s="198">
        <f>GETPIVOTDATA("Сумма по полю Сумма задолженности на начало года",'[1]СВОД с расшиф'!$A$5,"Округ","ЦФО","Наименование территории","ВОРОНЕЖСКАЯ ОБЛАСТЬ")</f>
        <v>3624500.94</v>
      </c>
      <c r="E65" s="152">
        <f t="shared" si="24"/>
        <v>5985302.2199999997</v>
      </c>
      <c r="F65" s="198">
        <f>GETPIVOTDATA("Сумма по полю Сумма задолженности на начало года повторно выставленные",'[1]СВОД с расшиф'!$A$5,"Округ","ЦФО","Наименование территории","ВОРОНЕЖСКАЯ ОБЛАСТЬ")</f>
        <v>0</v>
      </c>
      <c r="G65" s="199">
        <f>GETPIVOTDATA("Сумма по полю Сумма выставленного счета в отчетном периоде",'[1]СВОД с расшиф'!$A$5,"Округ","ЦФО","Наименование территории","ВОРОНЕЖСКАЯ ОБЛАСТЬ")</f>
        <v>5985302.2199999997</v>
      </c>
      <c r="H65" s="198">
        <f>GETPIVOTDATA("Сумма по полю Сумма повторно выставленного счета в отчетном периоде",'[1]СВОД с расшиф'!$A$5,"Округ","ЦФО","Наименование территории","ВОРОНЕЖСКАЯ ОБЛАСТЬ")</f>
        <v>0</v>
      </c>
      <c r="I65" s="198">
        <f>GETPIVOTDATA("Сумма по полю Сумма выставленного за предыдущие периоды",'[1]СВОД с расшиф'!$A$5,"Округ","ЦФО","Наименование территории","ВОРОНЕЖСКАЯ ОБЛАСТЬ")</f>
        <v>0</v>
      </c>
      <c r="J65" s="152">
        <f t="shared" si="8"/>
        <v>7376014.6200000001</v>
      </c>
      <c r="K65" s="198">
        <f>GETPIVOTDATA("Сумма по полю Оплаченная сумма по задолженности на начало года",'[1]СВОД с расшиф'!$A$5,"Округ","ЦФО","Наименование территории","ВОРОНЕЖСКАЯ ОБЛАСТЬ")</f>
        <v>3624500.94</v>
      </c>
      <c r="L65" s="199">
        <f>GETPIVOTDATA("Сумма по полю Оплаченная сумма по  выставленным счетам в отчетном периоде",'[1]СВОД с расшиф'!$A$5,"Округ","ЦФО","Наименование территории","ВОРОНЕЖСКАЯ ОБЛАСТЬ")</f>
        <v>3751513.68</v>
      </c>
      <c r="M65" s="199">
        <f>GETPIVOTDATA("Сумма по полю Оплаченная сумма за предыдущие  периоды",'[1]СВОД с расшиф'!$A$5,"Округ","ЦФО","Наименование территории","ВОРОНЕЖСКАЯ ОБЛАСТЬ")</f>
        <v>0</v>
      </c>
      <c r="N65" s="200">
        <f t="shared" si="1"/>
        <v>0</v>
      </c>
      <c r="O65" s="152">
        <f t="shared" si="25"/>
        <v>0</v>
      </c>
      <c r="P65" s="198">
        <f>GETPIVOTDATA("Сумма по полю Сумма отклонения по  счетам задолженности на начало года",'[1]СВОД с расшиф'!$A$5,"Округ","ЦФО","Наименование территории","ВОРОНЕЖСКАЯ ОБЛАСТЬ")</f>
        <v>0</v>
      </c>
      <c r="Q65" s="198">
        <f>GETPIVOTDATA("Сумма по полю Сумма отклонения по дешкам задолженности на начало года",'[1]СВОД с расшиф'!$A$5,"Округ","ЦФО","Наименование территории","ВОРОНЕЖСКАЯ ОБЛАСТЬ")</f>
        <v>0</v>
      </c>
      <c r="R65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территории","ВОРОНЕЖСКАЯ ОБЛАСТЬ")</f>
        <v>0</v>
      </c>
      <c r="S65" s="199">
        <f>GETPIVOTDATA("Сумма по полю Сумма отклонения по  выставленным счетам в отчетном периоде",'[1]СВОД с расшиф'!$A$5,"Округ","ЦФО","Наименование территории","ВОРОНЕЖСКАЯ ОБЛАСТЬ")</f>
        <v>0</v>
      </c>
      <c r="T65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территории","ВОРОНЕЖСКАЯ ОБЛАСТЬ")</f>
        <v>0</v>
      </c>
      <c r="U65" s="198">
        <f>GETPIVOTDATA("Сумма по полю Повторное отклонение по дешкам отчетного периода",'[1]СВОД с расшиф'!$A$5,"Округ","ЦФО","Наименование территории","ВОРОНЕЖСКАЯ ОБЛАСТЬ")</f>
        <v>0</v>
      </c>
      <c r="V65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территории","ВОРОНЕЖСКАЯ ОБЛАСТЬ")</f>
        <v>0</v>
      </c>
      <c r="W65" s="152">
        <f>GETPIVOTDATA("Сумма по полю Задолженность по счету",'[1]СВОД с расшиф'!$A$5,"Округ","ЦФО","Наименование территории","ВОРОНЕЖСКАЯ ОБЛАСТЬ")</f>
        <v>2233788.54</v>
      </c>
      <c r="X65" s="152">
        <f t="shared" si="2"/>
        <v>2233788.54</v>
      </c>
      <c r="Y65" s="152">
        <f t="shared" si="3"/>
        <v>0</v>
      </c>
      <c r="Z65" s="152">
        <f t="shared" si="4"/>
        <v>2233788.54</v>
      </c>
      <c r="AA65" s="152">
        <v>895579.50999999954</v>
      </c>
      <c r="AB65" s="152">
        <f t="shared" si="5"/>
        <v>1338209.0300000005</v>
      </c>
      <c r="AC65" s="152">
        <f t="shared" si="6"/>
        <v>2233788.5400000005</v>
      </c>
      <c r="AD65" s="152">
        <f t="shared" si="7"/>
        <v>0</v>
      </c>
    </row>
    <row r="66" spans="1:33">
      <c r="A66" s="131"/>
      <c r="B66" s="151" t="s">
        <v>5</v>
      </c>
      <c r="C66" s="198">
        <v>49650279.359999999</v>
      </c>
      <c r="D66" s="198">
        <f>GETPIVOTDATA("Сумма по полю Сумма задолженности на начало года",'[1]СВОД с расшиф'!$A$5,"Округ","ЦФО","Наименование территории","Г.МОСКВА")</f>
        <v>49650279.359999999</v>
      </c>
      <c r="E66" s="152">
        <f t="shared" si="24"/>
        <v>101536861.84999999</v>
      </c>
      <c r="F66" s="198">
        <f>GETPIVOTDATA("Сумма по полю Сумма задолженности на начало года повторно выставленные",'[1]СВОД с расшиф'!$A$5,"Округ","ЦФО","Наименование территории","Г.МОСКВА")</f>
        <v>0</v>
      </c>
      <c r="G66" s="199">
        <f>GETPIVOTDATA("Сумма по полю Сумма выставленного счета в отчетном периоде",'[1]СВОД с расшиф'!$A$5,"Округ","ЦФО","Наименование территории","Г.МОСКВА")</f>
        <v>101536861.84999999</v>
      </c>
      <c r="H66" s="198">
        <f>GETPIVOTDATA("Сумма по полю Сумма повторно выставленного счета в отчетном периоде",'[1]СВОД с расшиф'!$A$5,"Округ","ЦФО","Наименование территории","Г.МОСКВА")</f>
        <v>0</v>
      </c>
      <c r="I66" s="198">
        <f>GETPIVOTDATA("Сумма по полю Сумма выставленного за предыдущие периоды",'[1]СВОД с расшиф'!$A$5,"Округ","ЦФО","Наименование территории","Г.МОСКВА")</f>
        <v>0</v>
      </c>
      <c r="J66" s="152">
        <f t="shared" si="8"/>
        <v>107142173.73</v>
      </c>
      <c r="K66" s="198">
        <f>GETPIVOTDATA("Сумма по полю Оплаченная сумма по задолженности на начало года",'[1]СВОД с расшиф'!$A$5,"Округ","ЦФО","Наименование территории","Г.МОСКВА")</f>
        <v>49650279.359999999</v>
      </c>
      <c r="L66" s="199">
        <f>GETPIVOTDATA("Сумма по полю Оплаченная сумма по  выставленным счетам в отчетном периоде",'[1]СВОД с расшиф'!$A$5,"Округ","ЦФО","Наименование территории","Г.МОСКВА")</f>
        <v>57491894.370000005</v>
      </c>
      <c r="M66" s="199">
        <f>GETPIVOTDATA("Сумма по полю Оплаченная сумма за предыдущие  периоды",'[1]СВОД с расшиф'!$A$5,"Округ","ЦФО","Наименование территории","Г.МОСКВА")</f>
        <v>0</v>
      </c>
      <c r="N66" s="200">
        <f t="shared" si="1"/>
        <v>0</v>
      </c>
      <c r="O66" s="152">
        <f t="shared" si="25"/>
        <v>0</v>
      </c>
      <c r="P66" s="198">
        <f>GETPIVOTDATA("Сумма по полю Сумма отклонения по  счетам задолженности на начало года",'[1]СВОД с расшиф'!$A$5,"Округ","ЦФО","Наименование территории","Г.МОСКВА")</f>
        <v>0</v>
      </c>
      <c r="Q66" s="198">
        <f>GETPIVOTDATA("Сумма по полю Сумма отклонения по дешкам задолженности на начало года",'[1]СВОД с расшиф'!$A$5,"Округ","ЦФО","Наименование территории","Г.МОСКВА")</f>
        <v>0</v>
      </c>
      <c r="R66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территории","Г.МОСКВА")</f>
        <v>0</v>
      </c>
      <c r="S66" s="199">
        <f>GETPIVOTDATA("Сумма по полю Сумма отклонения по  выставленным счетам в отчетном периоде",'[1]СВОД с расшиф'!$A$5,"Округ","ЦФО","Наименование территории","Г.МОСКВА")</f>
        <v>0</v>
      </c>
      <c r="T66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территории","Г.МОСКВА")</f>
        <v>0</v>
      </c>
      <c r="U66" s="198">
        <f>GETPIVOTDATA("Сумма по полю Повторное отклонение по дешкам отчетного периода",'[1]СВОД с расшиф'!$A$5,"Округ","ЦФО","Наименование территории","Г.МОСКВА")</f>
        <v>0</v>
      </c>
      <c r="V66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территории","Г.МОСКВА")</f>
        <v>0</v>
      </c>
      <c r="W66" s="152">
        <f>GETPIVOTDATA("Сумма по полю Задолженность по счету",'[1]СВОД с расшиф'!$A$5,"Округ","ЦФО","Наименование территории","Г.МОСКВА")</f>
        <v>44044967.479999997</v>
      </c>
      <c r="X66" s="152">
        <f t="shared" si="2"/>
        <v>44044967.479999974</v>
      </c>
      <c r="Y66" s="152">
        <f t="shared" si="3"/>
        <v>0</v>
      </c>
      <c r="Z66" s="152">
        <f t="shared" si="4"/>
        <v>44044967.479999974</v>
      </c>
      <c r="AA66" s="152">
        <v>33948754.460000008</v>
      </c>
      <c r="AB66" s="152">
        <f t="shared" si="5"/>
        <v>10096213.019999966</v>
      </c>
      <c r="AC66" s="152">
        <f t="shared" si="6"/>
        <v>44044967.479999974</v>
      </c>
      <c r="AD66" s="152">
        <f t="shared" si="7"/>
        <v>0</v>
      </c>
    </row>
    <row r="67" spans="1:33">
      <c r="A67" s="131"/>
      <c r="B67" s="151" t="s">
        <v>6</v>
      </c>
      <c r="C67" s="198">
        <v>0</v>
      </c>
      <c r="D67" s="198">
        <f>GETPIVOTDATA("Сумма по полю Сумма задолженности на начало года",'[1]СВОД с расшиф'!$A$5,"Округ","ЦФО","Наименование территории","ИВАНОВСКАЯ ОБЛАСТЬ")</f>
        <v>0</v>
      </c>
      <c r="E67" s="152">
        <f t="shared" si="24"/>
        <v>350491.52</v>
      </c>
      <c r="F67" s="198">
        <f>GETPIVOTDATA("Сумма по полю Сумма задолженности на начало года повторно выставленные",'[1]СВОД с расшиф'!$A$5,"Округ","ЦФО","Наименование территории","ИВАНОВСКАЯ ОБЛАСТЬ")</f>
        <v>0</v>
      </c>
      <c r="G67" s="199">
        <f>GETPIVOTDATA("Сумма по полю Сумма выставленного счета в отчетном периоде",'[1]СВОД с расшиф'!$A$5,"Округ","ЦФО","Наименование территории","ИВАНОВСКАЯ ОБЛАСТЬ")</f>
        <v>350491.52</v>
      </c>
      <c r="H67" s="198">
        <f>GETPIVOTDATA("Сумма по полю Сумма повторно выставленного счета в отчетном периоде",'[1]СВОД с расшиф'!$A$5,"Округ","ЦФО","Наименование территории","ИВАНОВСКАЯ ОБЛАСТЬ")</f>
        <v>0</v>
      </c>
      <c r="I67" s="198">
        <f>GETPIVOTDATA("Сумма по полю Сумма выставленного за предыдущие периоды",'[1]СВОД с расшиф'!$A$5,"Округ","ЦФО","Наименование территории","ИВАНОВСКАЯ ОБЛАСТЬ")</f>
        <v>0</v>
      </c>
      <c r="J67" s="152">
        <f t="shared" si="8"/>
        <v>149531.07999999999</v>
      </c>
      <c r="K67" s="198">
        <f>GETPIVOTDATA("Сумма по полю Оплаченная сумма по задолженности на начало года",'[1]СВОД с расшиф'!$A$5,"Округ","ЦФО","Наименование территории","ИВАНОВСКАЯ ОБЛАСТЬ")</f>
        <v>0</v>
      </c>
      <c r="L67" s="199">
        <f>GETPIVOTDATA("Сумма по полю Оплаченная сумма по  выставленным счетам в отчетном периоде",'[1]СВОД с расшиф'!$A$5,"Округ","ЦФО","Наименование территории","ИВАНОВСКАЯ ОБЛАСТЬ")</f>
        <v>149531.07999999999</v>
      </c>
      <c r="M67" s="199">
        <f>GETPIVOTDATA("Сумма по полю Оплаченная сумма за предыдущие  периоды",'[1]СВОД с расшиф'!$A$5,"Округ","ЦФО","Наименование территории","ИВАНОВСКАЯ ОБЛАСТЬ")</f>
        <v>0</v>
      </c>
      <c r="N67" s="200">
        <f t="shared" si="1"/>
        <v>0</v>
      </c>
      <c r="O67" s="152">
        <f t="shared" si="25"/>
        <v>0</v>
      </c>
      <c r="P67" s="198">
        <f>GETPIVOTDATA("Сумма по полю Сумма отклонения по  счетам задолженности на начало года",'[1]СВОД с расшиф'!$A$5,"Округ","ЦФО","Наименование территории","ИВАНОВСКАЯ ОБЛАСТЬ")</f>
        <v>0</v>
      </c>
      <c r="Q67" s="198">
        <f>GETPIVOTDATA("Сумма по полю Сумма отклонения по дешкам задолженности на начало года",'[1]СВОД с расшиф'!$A$5,"Округ","ЦФО","Наименование территории","ИВАНОВСКАЯ ОБЛАСТЬ")</f>
        <v>0</v>
      </c>
      <c r="R67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территории","ИВАНОВСКАЯ ОБЛАСТЬ")</f>
        <v>0</v>
      </c>
      <c r="S67" s="199">
        <f>GETPIVOTDATA("Сумма по полю Сумма отклонения по  выставленным счетам в отчетном периоде",'[1]СВОД с расшиф'!$A$5,"Округ","ЦФО","Наименование территории","ИВАНОВСКАЯ ОБЛАСТЬ")</f>
        <v>0</v>
      </c>
      <c r="T67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территории","ИВАНОВСКАЯ ОБЛАСТЬ")</f>
        <v>0</v>
      </c>
      <c r="U67" s="198">
        <f>GETPIVOTDATA("Сумма по полю Повторное отклонение по дешкам отчетного периода",'[1]СВОД с расшиф'!$A$5,"Округ","ЦФО","Наименование территории","ИВАНОВСКАЯ ОБЛАСТЬ")</f>
        <v>0</v>
      </c>
      <c r="V67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территории","ИВАНОВСКАЯ ОБЛАСТЬ")</f>
        <v>0</v>
      </c>
      <c r="W67" s="152">
        <f>GETPIVOTDATA("Сумма по полю Задолженность по счету",'[1]СВОД с расшиф'!$A$5,"Округ","ЦФО","Наименование территории","ИВАНОВСКАЯ ОБЛАСТЬ")</f>
        <v>200960.44</v>
      </c>
      <c r="X67" s="152">
        <f t="shared" si="2"/>
        <v>200960.44000000003</v>
      </c>
      <c r="Y67" s="152">
        <f t="shared" si="3"/>
        <v>0</v>
      </c>
      <c r="Z67" s="152">
        <f t="shared" si="4"/>
        <v>200960.44000000003</v>
      </c>
      <c r="AA67" s="152">
        <v>23714.599999999977</v>
      </c>
      <c r="AB67" s="152">
        <f t="shared" si="5"/>
        <v>177245.84000000005</v>
      </c>
      <c r="AC67" s="152">
        <f t="shared" si="6"/>
        <v>200960.44000000003</v>
      </c>
      <c r="AD67" s="152">
        <f t="shared" si="7"/>
        <v>0</v>
      </c>
    </row>
    <row r="68" spans="1:33">
      <c r="A68" s="131"/>
      <c r="B68" s="151" t="s">
        <v>7</v>
      </c>
      <c r="C68" s="198">
        <v>402215.22000000003</v>
      </c>
      <c r="D68" s="198">
        <f>GETPIVOTDATA("Сумма по полю Сумма задолженности на начало года",'[1]СВОД с расшиф'!$A$5,"Округ","ЦФО","Наименование территории","КАЛУЖСКАЯ ОБЛАСТЬ")</f>
        <v>402215.22000000003</v>
      </c>
      <c r="E68" s="152">
        <f t="shared" si="24"/>
        <v>789275.7</v>
      </c>
      <c r="F68" s="198">
        <f>GETPIVOTDATA("Сумма по полю Сумма задолженности на начало года повторно выставленные",'[1]СВОД с расшиф'!$A$5,"Округ","ЦФО","Наименование территории","КАЛУЖСКАЯ ОБЛАСТЬ")</f>
        <v>0</v>
      </c>
      <c r="G68" s="199">
        <f>GETPIVOTDATA("Сумма по полю Сумма выставленного счета в отчетном периоде",'[1]СВОД с расшиф'!$A$5,"Округ","ЦФО","Наименование территории","КАЛУЖСКАЯ ОБЛАСТЬ")</f>
        <v>789275.7</v>
      </c>
      <c r="H68" s="198">
        <f>GETPIVOTDATA("Сумма по полю Сумма повторно выставленного счета в отчетном периоде",'[1]СВОД с расшиф'!$A$5,"Округ","ЦФО","Наименование территории","КАЛУЖСКАЯ ОБЛАСТЬ")</f>
        <v>0</v>
      </c>
      <c r="I68" s="198">
        <f>GETPIVOTDATA("Сумма по полю Сумма выставленного за предыдущие периоды",'[1]СВОД с расшиф'!$A$5,"Округ","ЦФО","Наименование территории","КАЛУЖСКАЯ ОБЛАСТЬ")</f>
        <v>0</v>
      </c>
      <c r="J68" s="152">
        <f t="shared" si="8"/>
        <v>843337.15</v>
      </c>
      <c r="K68" s="198">
        <f>GETPIVOTDATA("Сумма по полю Оплаченная сумма по задолженности на начало года",'[1]СВОД с расшиф'!$A$5,"Округ","ЦФО","Наименование территории","КАЛУЖСКАЯ ОБЛАСТЬ")</f>
        <v>402215.22000000003</v>
      </c>
      <c r="L68" s="199">
        <f>GETPIVOTDATA("Сумма по полю Оплаченная сумма по  выставленным счетам в отчетном периоде",'[1]СВОД с расшиф'!$A$5,"Округ","ЦФО","Наименование территории","КАЛУЖСКАЯ ОБЛАСТЬ")</f>
        <v>441121.93</v>
      </c>
      <c r="M68" s="199">
        <f>GETPIVOTDATA("Сумма по полю Оплаченная сумма за предыдущие  периоды",'[1]СВОД с расшиф'!$A$5,"Округ","ЦФО","Наименование территории","КАЛУЖСКАЯ ОБЛАСТЬ")</f>
        <v>0</v>
      </c>
      <c r="N68" s="200">
        <f t="shared" ref="N68:N100" si="26">P68+S68</f>
        <v>0</v>
      </c>
      <c r="O68" s="152">
        <f t="shared" si="25"/>
        <v>0</v>
      </c>
      <c r="P68" s="198">
        <f>GETPIVOTDATA("Сумма по полю Сумма отклонения по  счетам задолженности на начало года",'[1]СВОД с расшиф'!$A$5,"Округ","ЦФО","Наименование территории","КАЛУЖСКАЯ ОБЛАСТЬ")</f>
        <v>0</v>
      </c>
      <c r="Q68" s="198">
        <f>GETPIVOTDATA("Сумма по полю Сумма отклонения по дешкам задолженности на начало года",'[1]СВОД с расшиф'!$A$5,"Округ","ЦФО","Наименование территории","КАЛУЖСКАЯ ОБЛАСТЬ")</f>
        <v>0</v>
      </c>
      <c r="R68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территории","КАЛУЖСКАЯ ОБЛАСТЬ")</f>
        <v>0</v>
      </c>
      <c r="S68" s="199">
        <f>GETPIVOTDATA("Сумма по полю Сумма отклонения по  выставленным счетам в отчетном периоде",'[1]СВОД с расшиф'!$A$5,"Округ","ЦФО","Наименование территории","КАЛУЖСКАЯ ОБЛАСТЬ")</f>
        <v>0</v>
      </c>
      <c r="T68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территории","КАЛУЖСКАЯ ОБЛАСТЬ")</f>
        <v>0</v>
      </c>
      <c r="U68" s="198">
        <f>GETPIVOTDATA("Сумма по полю Повторное отклонение по дешкам отчетного периода",'[1]СВОД с расшиф'!$A$5,"Округ","ЦФО","Наименование территории","КАЛУЖСКАЯ ОБЛАСТЬ")</f>
        <v>0</v>
      </c>
      <c r="V68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территории","КАЛУЖСКАЯ ОБЛАСТЬ")</f>
        <v>0</v>
      </c>
      <c r="W68" s="152">
        <f>GETPIVOTDATA("Сумма по полю Задолженность по счету",'[1]СВОД с расшиф'!$A$5,"Округ","ЦФО","Наименование территории","КАЛУЖСКАЯ ОБЛАСТЬ")</f>
        <v>348153.77</v>
      </c>
      <c r="X68" s="152">
        <f t="shared" ref="X68:X101" si="27">D68+G68+I68+H68-J68-P68-S68-V68-U68-T68</f>
        <v>348153.7699999999</v>
      </c>
      <c r="Y68" s="152">
        <f t="shared" ref="Y68:Y101" si="28">W68-X68</f>
        <v>0</v>
      </c>
      <c r="Z68" s="152">
        <f t="shared" ref="Z68:Z101" si="29">D68+G68-J68-N68+M68</f>
        <v>348153.7699999999</v>
      </c>
      <c r="AA68" s="152">
        <v>436309.25999999954</v>
      </c>
      <c r="AB68" s="152">
        <f t="shared" ref="AB68:AB101" si="30">Z68-AA68</f>
        <v>-88155.489999999641</v>
      </c>
      <c r="AC68" s="152">
        <f t="shared" ref="AC68:AC101" si="31">D68+G68+I68-K68-L68-M68-N68</f>
        <v>348153.76999999996</v>
      </c>
      <c r="AD68" s="152">
        <f t="shared" ref="AD68:AD101" si="32">W68-Z68</f>
        <v>0</v>
      </c>
    </row>
    <row r="69" spans="1:33">
      <c r="A69" s="131"/>
      <c r="B69" s="151" t="s">
        <v>8</v>
      </c>
      <c r="C69" s="198">
        <v>0</v>
      </c>
      <c r="D69" s="198">
        <f>GETPIVOTDATA("Сумма по полю Сумма задолженности на начало года",'[1]СВОД с расшиф'!$A$5,"Округ","ЦФО","Наименование территории","КОСТРОМСКАЯ ОБЛАСТЬ")</f>
        <v>0</v>
      </c>
      <c r="E69" s="152">
        <f t="shared" si="24"/>
        <v>66922.23000000001</v>
      </c>
      <c r="F69" s="198">
        <f>GETPIVOTDATA("Сумма по полю Сумма задолженности на начало года повторно выставленные",'[1]СВОД с расшиф'!$A$5,"Округ","ЦФО","Наименование территории","КОСТРОМСКАЯ ОБЛАСТЬ")</f>
        <v>0</v>
      </c>
      <c r="G69" s="199">
        <f>GETPIVOTDATA("Сумма по полю Сумма выставленного счета в отчетном периоде",'[1]СВОД с расшиф'!$A$5,"Округ","ЦФО","Наименование территории","КОСТРОМСКАЯ ОБЛАСТЬ")</f>
        <v>66922.23000000001</v>
      </c>
      <c r="H69" s="198">
        <f>GETPIVOTDATA("Сумма по полю Сумма повторно выставленного счета в отчетном периоде",'[1]СВОД с расшиф'!$A$5,"Округ","ЦФО","Наименование территории","КОСТРОМСКАЯ ОБЛАСТЬ")</f>
        <v>0</v>
      </c>
      <c r="I69" s="198">
        <f>GETPIVOTDATA("Сумма по полю Сумма выставленного за предыдущие периоды",'[1]СВОД с расшиф'!$A$5,"Округ","ЦФО","Наименование территории","КОСТРОМСКАЯ ОБЛАСТЬ")</f>
        <v>0</v>
      </c>
      <c r="J69" s="152">
        <f t="shared" ref="J69:J100" si="33">K69+L69+M69</f>
        <v>28700.61</v>
      </c>
      <c r="K69" s="198">
        <f>GETPIVOTDATA("Сумма по полю Оплаченная сумма по задолженности на начало года",'[1]СВОД с расшиф'!$A$5,"Округ","ЦФО","Наименование территории","КОСТРОМСКАЯ ОБЛАСТЬ")</f>
        <v>0</v>
      </c>
      <c r="L69" s="199">
        <f>GETPIVOTDATA("Сумма по полю Оплаченная сумма по  выставленным счетам в отчетном периоде",'[1]СВОД с расшиф'!$A$5,"Округ","ЦФО","Наименование территории","КОСТРОМСКАЯ ОБЛАСТЬ")</f>
        <v>28700.61</v>
      </c>
      <c r="M69" s="199">
        <f>GETPIVOTDATA("Сумма по полю Оплаченная сумма за предыдущие  периоды",'[1]СВОД с расшиф'!$A$5,"Округ","ЦФО","Наименование территории","КОСТРОМСКАЯ ОБЛАСТЬ")</f>
        <v>0</v>
      </c>
      <c r="N69" s="200">
        <f t="shared" si="26"/>
        <v>0</v>
      </c>
      <c r="O69" s="152">
        <f t="shared" si="25"/>
        <v>0</v>
      </c>
      <c r="P69" s="198">
        <f>GETPIVOTDATA("Сумма по полю Сумма отклонения по  счетам задолженности на начало года",'[1]СВОД с расшиф'!$A$5,"Округ","ЦФО","Наименование территории","КОСТРОМСКАЯ ОБЛАСТЬ")</f>
        <v>0</v>
      </c>
      <c r="Q69" s="198">
        <f>GETPIVOTDATA("Сумма по полю Сумма отклонения по дешкам задолженности на начало года",'[1]СВОД с расшиф'!$A$5,"Округ","ЦФО","Наименование территории","КОСТРОМСКАЯ ОБЛАСТЬ")</f>
        <v>0</v>
      </c>
      <c r="R69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территории","КОСТРОМСКАЯ ОБЛАСТЬ")</f>
        <v>0</v>
      </c>
      <c r="S69" s="199">
        <f>GETPIVOTDATA("Сумма по полю Сумма отклонения по  выставленным счетам в отчетном периоде",'[1]СВОД с расшиф'!$A$5,"Округ","ЦФО","Наименование территории","КОСТРОМСКАЯ ОБЛАСТЬ")</f>
        <v>0</v>
      </c>
      <c r="T69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территории","КОСТРОМСКАЯ ОБЛАСТЬ")</f>
        <v>0</v>
      </c>
      <c r="U69" s="198">
        <f>GETPIVOTDATA("Сумма по полю Повторное отклонение по дешкам отчетного периода",'[1]СВОД с расшиф'!$A$5,"Округ","ЦФО","Наименование территории","КОСТРОМСКАЯ ОБЛАСТЬ")</f>
        <v>0</v>
      </c>
      <c r="V69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территории","КОСТРОМСКАЯ ОБЛАСТЬ")</f>
        <v>0</v>
      </c>
      <c r="W69" s="152">
        <f>GETPIVOTDATA("Сумма по полю Задолженность по счету",'[1]СВОД с расшиф'!$A$5,"Округ","ЦФО","Наименование территории","КОСТРОМСКАЯ ОБЛАСТЬ")</f>
        <v>38221.620000000003</v>
      </c>
      <c r="X69" s="152">
        <f t="shared" si="27"/>
        <v>38221.62000000001</v>
      </c>
      <c r="Y69" s="152">
        <f t="shared" si="28"/>
        <v>0</v>
      </c>
      <c r="Z69" s="152">
        <f t="shared" si="29"/>
        <v>38221.62000000001</v>
      </c>
      <c r="AA69" s="152">
        <v>6858.5399999999963</v>
      </c>
      <c r="AB69" s="152">
        <f t="shared" si="30"/>
        <v>31363.080000000013</v>
      </c>
      <c r="AC69" s="152">
        <f t="shared" si="31"/>
        <v>38221.62000000001</v>
      </c>
      <c r="AD69" s="152">
        <f t="shared" si="32"/>
        <v>0</v>
      </c>
    </row>
    <row r="70" spans="1:33" s="102" customFormat="1">
      <c r="A70" s="157"/>
      <c r="B70" s="158" t="s">
        <v>9</v>
      </c>
      <c r="C70" s="206">
        <v>21218.99</v>
      </c>
      <c r="D70" s="206">
        <f>GETPIVOTDATA("Сумма по полю Сумма задолженности на начало года",'[1]СВОД с расшиф'!$A$5,"Округ","ЦФО","Наименование территории","КУРСКАЯ ОБЛАСТЬ")</f>
        <v>21218.99</v>
      </c>
      <c r="E70" s="152">
        <f t="shared" si="24"/>
        <v>93080.42</v>
      </c>
      <c r="F70" s="206">
        <f>GETPIVOTDATA("Сумма по полю Сумма задолженности на начало года повторно выставленные",'[1]СВОД с расшиф'!$A$5,"Округ","ЦФО","Наименование территории","КУРСКАЯ ОБЛАСТЬ")</f>
        <v>0</v>
      </c>
      <c r="G70" s="207">
        <f>GETPIVOTDATA("Сумма по полю Сумма выставленного счета в отчетном периоде",'[1]СВОД с расшиф'!$A$5,"Округ","ЦФО","Наименование территории","КУРСКАЯ ОБЛАСТЬ")</f>
        <v>93080.42</v>
      </c>
      <c r="H70" s="206">
        <f>GETPIVOTDATA("Сумма по полю Сумма повторно выставленного счета в отчетном периоде",'[1]СВОД с расшиф'!$A$5,"Округ","ЦФО","Наименование территории","КУРСКАЯ ОБЛАСТЬ")</f>
        <v>0</v>
      </c>
      <c r="I70" s="206">
        <f>GETPIVOTDATA("Сумма по полю Сумма выставленного за предыдущие периоды",'[1]СВОД с расшиф'!$A$5,"Округ","ЦФО","Наименование территории","КУРСКАЯ ОБЛАСТЬ")</f>
        <v>0</v>
      </c>
      <c r="J70" s="152">
        <f t="shared" si="33"/>
        <v>102889.76000000001</v>
      </c>
      <c r="K70" s="206">
        <f>GETPIVOTDATA("Сумма по полю Оплаченная сумма по задолженности на начало года",'[1]СВОД с расшиф'!$A$5,"Округ","ЦФО","Наименование территории","КУРСКАЯ ОБЛАСТЬ")</f>
        <v>21218.99</v>
      </c>
      <c r="L70" s="207">
        <f>GETPIVOTDATA("Сумма по полю Оплаченная сумма по  выставленным счетам в отчетном периоде",'[1]СВОД с расшиф'!$A$5,"Округ","ЦФО","Наименование территории","КУРСКАЯ ОБЛАСТЬ")</f>
        <v>81670.77</v>
      </c>
      <c r="M70" s="207">
        <f>GETPIVOTDATA("Сумма по полю Оплаченная сумма за предыдущие  периоды",'[1]СВОД с расшиф'!$A$5,"Округ","ЦФО","Наименование территории","КУРСКАЯ ОБЛАСТЬ")</f>
        <v>0</v>
      </c>
      <c r="N70" s="200">
        <f t="shared" si="26"/>
        <v>0</v>
      </c>
      <c r="O70" s="152">
        <f t="shared" si="25"/>
        <v>0</v>
      </c>
      <c r="P70" s="206">
        <f>GETPIVOTDATA("Сумма по полю Сумма отклонения по  счетам задолженности на начало года",'[1]СВОД с расшиф'!$A$5,"Округ","ЦФО","Наименование территории","КУРСКАЯ ОБЛАСТЬ")</f>
        <v>0</v>
      </c>
      <c r="Q70" s="206">
        <f>GETPIVOTDATA("Сумма по полю Сумма отклонения по дешкам задолженности на начало года",'[1]СВОД с расшиф'!$A$5,"Округ","ЦФО","Наименование территории","КУРСКАЯ ОБЛАСТЬ")</f>
        <v>0</v>
      </c>
      <c r="R70" s="206">
        <f>GETPIVOTDATA("Сумма по полю Повтороное отклонение по дешкам задолженности на начало года",'[1]СВОД с расшиф'!$A$5,"Округ","ЦФО","Наименование территории","КУРСКАЯ ОБЛАСТЬ")</f>
        <v>0</v>
      </c>
      <c r="S70" s="207">
        <f>GETPIVOTDATA("Сумма по полю Сумма отклонения по  выставленным счетам в отчетном периоде",'[1]СВОД с расшиф'!$A$5,"Округ","ЦФО","Наименование территории","КУРСКАЯ ОБЛАСТЬ")</f>
        <v>0</v>
      </c>
      <c r="T70" s="206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территории","КУРСКАЯ ОБЛАСТЬ")</f>
        <v>0</v>
      </c>
      <c r="U70" s="206">
        <f>GETPIVOTDATA("Сумма по полю Повторное отклонение по дешкам отчетного периода",'[1]СВОД с расшиф'!$A$5,"Округ","ЦФО","Наименование территории","КУРСКАЯ ОБЛАСТЬ")</f>
        <v>0</v>
      </c>
      <c r="V70" s="206">
        <f>GETPIVOTDATA("Сумма по полю Сумма отклонения по  выставленным счетам за предыдущие периоды",'[1]СВОД с расшиф'!$A$5,"Округ","ЦФО","Наименование территории","КУРСКАЯ ОБЛАСТЬ")</f>
        <v>0</v>
      </c>
      <c r="W70" s="152">
        <f>GETPIVOTDATA("Сумма по полю Задолженность по счету",'[1]СВОД с расшиф'!$A$5,"Округ","ЦФО","Наименование территории","КУРСКАЯ ОБЛАСТЬ")</f>
        <v>11409.65</v>
      </c>
      <c r="X70" s="152">
        <f t="shared" si="27"/>
        <v>11409.649999999994</v>
      </c>
      <c r="Y70" s="152">
        <f t="shared" si="28"/>
        <v>0</v>
      </c>
      <c r="Z70" s="152">
        <f t="shared" si="29"/>
        <v>11409.649999999994</v>
      </c>
      <c r="AA70" s="152">
        <v>49697.020000000004</v>
      </c>
      <c r="AB70" s="152">
        <f t="shared" si="30"/>
        <v>-38287.37000000001</v>
      </c>
      <c r="AC70" s="152">
        <f t="shared" si="31"/>
        <v>11409.649999999994</v>
      </c>
      <c r="AD70" s="152">
        <f t="shared" si="32"/>
        <v>0</v>
      </c>
    </row>
    <row r="71" spans="1:33">
      <c r="A71" s="131"/>
      <c r="B71" s="151" t="s">
        <v>10</v>
      </c>
      <c r="C71" s="198">
        <v>0</v>
      </c>
      <c r="D71" s="198">
        <f>GETPIVOTDATA("Сумма по полю Сумма задолженности на начало года",'[1]СВОД с расшиф'!$A$5,"Округ","ЦФО","Наименование территории","ЛИПЕЦКАЯ ОБЛАСТЬ")</f>
        <v>0</v>
      </c>
      <c r="E71" s="152">
        <f t="shared" si="24"/>
        <v>162507.85999999999</v>
      </c>
      <c r="F71" s="198">
        <f>GETPIVOTDATA("Сумма по полю Сумма задолженности на начало года повторно выставленные",'[1]СВОД с расшиф'!$A$5,"Округ","ЦФО","Наименование территории","ЛИПЕЦКАЯ ОБЛАСТЬ")</f>
        <v>0</v>
      </c>
      <c r="G71" s="199">
        <f>GETPIVOTDATA("Сумма по полю Сумма выставленного счета в отчетном периоде",'[1]СВОД с расшиф'!$A$5,"Округ","ЦФО","Наименование территории","ЛИПЕЦКАЯ ОБЛАСТЬ")</f>
        <v>162507.85999999999</v>
      </c>
      <c r="H71" s="198">
        <f>GETPIVOTDATA("Сумма по полю Сумма повторно выставленного счета в отчетном периоде",'[1]СВОД с расшиф'!$A$5,"Округ","ЦФО","Наименование территории","ЛИПЕЦКАЯ ОБЛАСТЬ")</f>
        <v>0</v>
      </c>
      <c r="I71" s="198">
        <f>GETPIVOTDATA("Сумма по полю Сумма выставленного за предыдущие периоды",'[1]СВОД с расшиф'!$A$5,"Округ","ЦФО","Наименование территории","ЛИПЕЦКАЯ ОБЛАСТЬ")</f>
        <v>0</v>
      </c>
      <c r="J71" s="152">
        <f t="shared" si="33"/>
        <v>105535.53</v>
      </c>
      <c r="K71" s="198">
        <f>GETPIVOTDATA("Сумма по полю Оплаченная сумма по задолженности на начало года",'[1]СВОД с расшиф'!$A$5,"Округ","ЦФО","Наименование территории","ЛИПЕЦКАЯ ОБЛАСТЬ")</f>
        <v>0</v>
      </c>
      <c r="L71" s="199">
        <f>GETPIVOTDATA("Сумма по полю Оплаченная сумма по  выставленным счетам в отчетном периоде",'[1]СВОД с расшиф'!$A$5,"Округ","ЦФО","Наименование территории","ЛИПЕЦКАЯ ОБЛАСТЬ")</f>
        <v>105535.53</v>
      </c>
      <c r="M71" s="199">
        <f>GETPIVOTDATA("Сумма по полю Оплаченная сумма за предыдущие  периоды",'[1]СВОД с расшиф'!$A$5,"Округ","ЦФО","Наименование территории","ЛИПЕЦКАЯ ОБЛАСТЬ")</f>
        <v>0</v>
      </c>
      <c r="N71" s="200">
        <f t="shared" si="26"/>
        <v>0</v>
      </c>
      <c r="O71" s="152">
        <f t="shared" si="25"/>
        <v>0</v>
      </c>
      <c r="P71" s="198">
        <f>GETPIVOTDATA("Сумма по полю Сумма отклонения по  счетам задолженности на начало года",'[1]СВОД с расшиф'!$A$5,"Округ","ЦФО","Наименование территории","ЛИПЕЦКАЯ ОБЛАСТЬ")</f>
        <v>0</v>
      </c>
      <c r="Q71" s="198">
        <f>GETPIVOTDATA("Сумма по полю Сумма отклонения по дешкам задолженности на начало года",'[1]СВОД с расшиф'!$A$5,"Округ","ЦФО","Наименование территории","ЛИПЕЦКАЯ ОБЛАСТЬ")</f>
        <v>0</v>
      </c>
      <c r="R71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территории","ЛИПЕЦКАЯ ОБЛАСТЬ")</f>
        <v>0</v>
      </c>
      <c r="S71" s="199">
        <f>GETPIVOTDATA("Сумма по полю Сумма отклонения по  выставленным счетам в отчетном периоде",'[1]СВОД с расшиф'!$A$5,"Округ","ЦФО","Наименование территории","ЛИПЕЦКАЯ ОБЛАСТЬ")</f>
        <v>0</v>
      </c>
      <c r="T71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территории","ЛИПЕЦКАЯ ОБЛАСТЬ")</f>
        <v>0</v>
      </c>
      <c r="U71" s="198">
        <f>GETPIVOTDATA("Сумма по полю Повторное отклонение по дешкам отчетного периода",'[1]СВОД с расшиф'!$A$5,"Округ","ЦФО","Наименование территории","ЛИПЕЦКАЯ ОБЛАСТЬ")</f>
        <v>0</v>
      </c>
      <c r="V71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территории","ЛИПЕЦКАЯ ОБЛАСТЬ")</f>
        <v>0</v>
      </c>
      <c r="W71" s="152">
        <f>GETPIVOTDATA("Сумма по полю Задолженность по счету",'[1]СВОД с расшиф'!$A$5,"Округ","ЦФО","Наименование территории","ЛИПЕЦКАЯ ОБЛАСТЬ")</f>
        <v>56972.33</v>
      </c>
      <c r="X71" s="152">
        <f t="shared" si="27"/>
        <v>56972.329999999987</v>
      </c>
      <c r="Y71" s="152">
        <f t="shared" si="28"/>
        <v>0</v>
      </c>
      <c r="Z71" s="152">
        <f t="shared" si="29"/>
        <v>56972.329999999987</v>
      </c>
      <c r="AA71" s="152">
        <v>3379.7999999999884</v>
      </c>
      <c r="AB71" s="152">
        <f t="shared" si="30"/>
        <v>53592.53</v>
      </c>
      <c r="AC71" s="152">
        <f t="shared" si="31"/>
        <v>56972.329999999987</v>
      </c>
      <c r="AD71" s="152">
        <f t="shared" si="32"/>
        <v>0</v>
      </c>
    </row>
    <row r="72" spans="1:33">
      <c r="A72" s="131"/>
      <c r="B72" s="151" t="s">
        <v>11</v>
      </c>
      <c r="C72" s="198">
        <v>18183026</v>
      </c>
      <c r="D72" s="198">
        <f>GETPIVOTDATA("Сумма по полю Сумма задолженности на начало года",'[1]СВОД с расшиф'!$A$5,"Округ","ЦФО","Наименование территории","МОСКОВСКАЯ ОБЛАСТЬ")</f>
        <v>18183026</v>
      </c>
      <c r="E72" s="152">
        <f t="shared" si="24"/>
        <v>31633157</v>
      </c>
      <c r="F72" s="198">
        <f>GETPIVOTDATA("Сумма по полю Сумма задолженности на начало года повторно выставленные",'[1]СВОД с расшиф'!$A$5,"Округ","ЦФО","Наименование территории","МОСКОВСКАЯ ОБЛАСТЬ")</f>
        <v>0</v>
      </c>
      <c r="G72" s="199">
        <f>GETPIVOTDATA("Сумма по полю Сумма выставленного счета в отчетном периоде",'[1]СВОД с расшиф'!$A$5,"Округ","ЦФО","Наименование территории","МОСКОВСКАЯ ОБЛАСТЬ")</f>
        <v>31633157</v>
      </c>
      <c r="H72" s="198">
        <f>GETPIVOTDATA("Сумма по полю Сумма повторно выставленного счета в отчетном периоде",'[1]СВОД с расшиф'!$A$5,"Округ","ЦФО","Наименование территории","МОСКОВСКАЯ ОБЛАСТЬ")</f>
        <v>0</v>
      </c>
      <c r="I72" s="198">
        <f>GETPIVOTDATA("Сумма по полю Сумма выставленного за предыдущие периоды",'[1]СВОД с расшиф'!$A$5,"Округ","ЦФО","Наименование территории","МОСКОВСКАЯ ОБЛАСТЬ")</f>
        <v>0</v>
      </c>
      <c r="J72" s="152">
        <f t="shared" si="33"/>
        <v>35017994</v>
      </c>
      <c r="K72" s="198">
        <f>GETPIVOTDATA("Сумма по полю Оплаченная сумма по задолженности на начало года",'[1]СВОД с расшиф'!$A$5,"Округ","ЦФО","Наименование территории","МОСКОВСКАЯ ОБЛАСТЬ")</f>
        <v>18183026</v>
      </c>
      <c r="L72" s="199">
        <f>GETPIVOTDATA("Сумма по полю Оплаченная сумма по  выставленным счетам в отчетном периоде",'[1]СВОД с расшиф'!$A$5,"Округ","ЦФО","Наименование территории","МОСКОВСКАЯ ОБЛАСТЬ")</f>
        <v>16834968</v>
      </c>
      <c r="M72" s="199">
        <f>GETPIVOTDATA("Сумма по полю Оплаченная сумма за предыдущие  периоды",'[1]СВОД с расшиф'!$A$5,"Округ","ЦФО","Наименование территории","МОСКОВСКАЯ ОБЛАСТЬ")</f>
        <v>0</v>
      </c>
      <c r="N72" s="200">
        <f t="shared" si="26"/>
        <v>0</v>
      </c>
      <c r="O72" s="152">
        <f t="shared" si="25"/>
        <v>0</v>
      </c>
      <c r="P72" s="198">
        <f>GETPIVOTDATA("Сумма по полю Сумма отклонения по  счетам задолженности на начало года",'[1]СВОД с расшиф'!$A$5,"Округ","ЦФО","Наименование территории","МОСКОВСКАЯ ОБЛАСТЬ")</f>
        <v>0</v>
      </c>
      <c r="Q72" s="198">
        <f>GETPIVOTDATA("Сумма по полю Сумма отклонения по дешкам задолженности на начало года",'[1]СВОД с расшиф'!$A$5,"Округ","ЦФО","Наименование территории","МОСКОВСКАЯ ОБЛАСТЬ")</f>
        <v>0</v>
      </c>
      <c r="R72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территории","МОСКОВСКАЯ ОБЛАСТЬ")</f>
        <v>0</v>
      </c>
      <c r="S72" s="199">
        <f>GETPIVOTDATA("Сумма по полю Сумма отклонения по  выставленным счетам в отчетном периоде",'[1]СВОД с расшиф'!$A$5,"Округ","ЦФО","Наименование территории","МОСКОВСКАЯ ОБЛАСТЬ")</f>
        <v>0</v>
      </c>
      <c r="T72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территории","МОСКОВСКАЯ ОБЛАСТЬ")</f>
        <v>0</v>
      </c>
      <c r="U72" s="198">
        <f>GETPIVOTDATA("Сумма по полю Повторное отклонение по дешкам отчетного периода",'[1]СВОД с расшиф'!$A$5,"Округ","ЦФО","Наименование территории","МОСКОВСКАЯ ОБЛАСТЬ")</f>
        <v>0</v>
      </c>
      <c r="V72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территории","МОСКОВСКАЯ ОБЛАСТЬ")</f>
        <v>0</v>
      </c>
      <c r="W72" s="152">
        <f>GETPIVOTDATA("Сумма по полю Задолженность по счету",'[1]СВОД с расшиф'!$A$5,"Округ","ЦФО","Наименование территории","МОСКОВСКАЯ ОБЛАСТЬ")</f>
        <v>14798189</v>
      </c>
      <c r="X72" s="152">
        <f t="shared" si="27"/>
        <v>14798189</v>
      </c>
      <c r="Y72" s="152">
        <f t="shared" si="28"/>
        <v>0</v>
      </c>
      <c r="Z72" s="152">
        <f t="shared" si="29"/>
        <v>14798189</v>
      </c>
      <c r="AA72" s="152">
        <v>9749639</v>
      </c>
      <c r="AB72" s="152">
        <f t="shared" si="30"/>
        <v>5048550</v>
      </c>
      <c r="AC72" s="152">
        <f t="shared" si="31"/>
        <v>14798189</v>
      </c>
      <c r="AD72" s="152">
        <f t="shared" si="32"/>
        <v>0</v>
      </c>
      <c r="AG72" s="176"/>
    </row>
    <row r="73" spans="1:33">
      <c r="A73" s="131"/>
      <c r="B73" s="151" t="s">
        <v>12</v>
      </c>
      <c r="C73" s="198">
        <v>7807.31</v>
      </c>
      <c r="D73" s="198">
        <f>GETPIVOTDATA("Сумма по полю Сумма задолженности на начало года",'[1]СВОД с расшиф'!$A$5,"Округ","ЦФО","Наименование территории","ОРЛОВСКАЯ ОБЛАСТЬ")</f>
        <v>7807.31</v>
      </c>
      <c r="E73" s="152">
        <f t="shared" si="24"/>
        <v>111904.62</v>
      </c>
      <c r="F73" s="198">
        <f>GETPIVOTDATA("Сумма по полю Сумма задолженности на начало года повторно выставленные",'[1]СВОД с расшиф'!$A$5,"Округ","ЦФО","Наименование территории","ОРЛОВСКАЯ ОБЛАСТЬ")</f>
        <v>0</v>
      </c>
      <c r="G73" s="199">
        <f>GETPIVOTDATA("Сумма по полю Сумма выставленного счета в отчетном периоде",'[1]СВОД с расшиф'!$A$5,"Округ","ЦФО","Наименование территории","ОРЛОВСКАЯ ОБЛАСТЬ")</f>
        <v>111904.62</v>
      </c>
      <c r="H73" s="198">
        <f>GETPIVOTDATA("Сумма по полю Сумма повторно выставленного счета в отчетном периоде",'[1]СВОД с расшиф'!$A$5,"Округ","ЦФО","Наименование территории","ОРЛОВСКАЯ ОБЛАСТЬ")</f>
        <v>0</v>
      </c>
      <c r="I73" s="198">
        <f>GETPIVOTDATA("Сумма по полю Сумма выставленного за предыдущие периоды",'[1]СВОД с расшиф'!$A$5,"Округ","ЦФО","Наименование территории","ОРЛОВСКАЯ ОБЛАСТЬ")</f>
        <v>0</v>
      </c>
      <c r="J73" s="152">
        <f t="shared" si="33"/>
        <v>119711.93</v>
      </c>
      <c r="K73" s="198">
        <f>GETPIVOTDATA("Сумма по полю Оплаченная сумма по задолженности на начало года",'[1]СВОД с расшиф'!$A$5,"Округ","ЦФО","Наименование территории","ОРЛОВСКАЯ ОБЛАСТЬ")</f>
        <v>7807.31</v>
      </c>
      <c r="L73" s="199">
        <f>GETPIVOTDATA("Сумма по полю Оплаченная сумма по  выставленным счетам в отчетном периоде",'[1]СВОД с расшиф'!$A$5,"Округ","ЦФО","Наименование территории","ОРЛОВСКАЯ ОБЛАСТЬ")</f>
        <v>111904.62</v>
      </c>
      <c r="M73" s="199">
        <f>GETPIVOTDATA("Сумма по полю Оплаченная сумма за предыдущие  периоды",'[1]СВОД с расшиф'!$A$5,"Округ","ЦФО","Наименование территории","ОРЛОВСКАЯ ОБЛАСТЬ")</f>
        <v>0</v>
      </c>
      <c r="N73" s="200">
        <f t="shared" si="26"/>
        <v>0</v>
      </c>
      <c r="O73" s="152">
        <f t="shared" si="25"/>
        <v>0</v>
      </c>
      <c r="P73" s="198">
        <f>GETPIVOTDATA("Сумма по полю Сумма отклонения по  счетам задолженности на начало года",'[1]СВОД с расшиф'!$A$5,"Округ","ЦФО","Наименование территории","ОРЛОВСКАЯ ОБЛАСТЬ")</f>
        <v>0</v>
      </c>
      <c r="Q73" s="198">
        <f>GETPIVOTDATA("Сумма по полю Сумма отклонения по дешкам задолженности на начало года",'[1]СВОД с расшиф'!$A$5,"Округ","ЦФО","Наименование территории","ОРЛОВСКАЯ ОБЛАСТЬ")</f>
        <v>0</v>
      </c>
      <c r="R73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территории","ОРЛОВСКАЯ ОБЛАСТЬ")</f>
        <v>0</v>
      </c>
      <c r="S73" s="199">
        <f>GETPIVOTDATA("Сумма по полю Сумма отклонения по  выставленным счетам в отчетном периоде",'[1]СВОД с расшиф'!$A$5,"Округ","ЦФО","Наименование территории","ОРЛОВСКАЯ ОБЛАСТЬ")</f>
        <v>0</v>
      </c>
      <c r="T73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территории","ОРЛОВСКАЯ ОБЛАСТЬ")</f>
        <v>0</v>
      </c>
      <c r="U73" s="198">
        <f>GETPIVOTDATA("Сумма по полю Повторное отклонение по дешкам отчетного периода",'[1]СВОД с расшиф'!$A$5,"Округ","ЦФО","Наименование территории","ОРЛОВСКАЯ ОБЛАСТЬ")</f>
        <v>0</v>
      </c>
      <c r="V73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территории","ОРЛОВСКАЯ ОБЛАСТЬ")</f>
        <v>0</v>
      </c>
      <c r="W73" s="152">
        <f>GETPIVOTDATA("Сумма по полю Задолженность по счету",'[1]СВОД с расшиф'!$A$5,"Округ","ЦФО","Наименование территории","ОРЛОВСКАЯ ОБЛАСТЬ")</f>
        <v>0</v>
      </c>
      <c r="X73" s="152">
        <f t="shared" si="27"/>
        <v>0</v>
      </c>
      <c r="Y73" s="152">
        <f t="shared" si="28"/>
        <v>0</v>
      </c>
      <c r="Z73" s="152">
        <f t="shared" si="29"/>
        <v>0</v>
      </c>
      <c r="AA73" s="152">
        <v>2186.3599999999997</v>
      </c>
      <c r="AB73" s="152">
        <f t="shared" si="30"/>
        <v>-2186.3599999999997</v>
      </c>
      <c r="AC73" s="152">
        <f t="shared" si="31"/>
        <v>0</v>
      </c>
      <c r="AD73" s="152">
        <f t="shared" si="32"/>
        <v>0</v>
      </c>
    </row>
    <row r="74" spans="1:33">
      <c r="A74" s="131"/>
      <c r="B74" s="151" t="s">
        <v>13</v>
      </c>
      <c r="C74" s="198">
        <v>295981.06999999995</v>
      </c>
      <c r="D74" s="198">
        <f>GETPIVOTDATA("Сумма по полю Сумма задолженности на начало года",'[1]СВОД с расшиф'!$A$5,"Округ","ЦФО","Наименование территории","РЯЗАНСКАЯ ОБЛАСТЬ")</f>
        <v>295981.06999999995</v>
      </c>
      <c r="E74" s="152">
        <f t="shared" si="24"/>
        <v>466566.66000000003</v>
      </c>
      <c r="F74" s="198">
        <f>GETPIVOTDATA("Сумма по полю Сумма задолженности на начало года повторно выставленные",'[1]СВОД с расшиф'!$A$5,"Округ","ЦФО","Наименование территории","РЯЗАНСКАЯ ОБЛАСТЬ")</f>
        <v>0</v>
      </c>
      <c r="G74" s="199">
        <f>GETPIVOTDATA("Сумма по полю Сумма выставленного счета в отчетном периоде",'[1]СВОД с расшиф'!$A$5,"Округ","ЦФО","Наименование территории","РЯЗАНСКАЯ ОБЛАСТЬ")</f>
        <v>466566.66000000003</v>
      </c>
      <c r="H74" s="198">
        <f>GETPIVOTDATA("Сумма по полю Сумма повторно выставленного счета в отчетном периоде",'[1]СВОД с расшиф'!$A$5,"Округ","ЦФО","Наименование территории","РЯЗАНСКАЯ ОБЛАСТЬ")</f>
        <v>0</v>
      </c>
      <c r="I74" s="198">
        <f>GETPIVOTDATA("Сумма по полю Сумма выставленного за предыдущие периоды",'[1]СВОД с расшиф'!$A$5,"Округ","ЦФО","Наименование территории","РЯЗАНСКАЯ ОБЛАСТЬ")</f>
        <v>0</v>
      </c>
      <c r="J74" s="152">
        <f t="shared" si="33"/>
        <v>547483.76</v>
      </c>
      <c r="K74" s="198">
        <f>GETPIVOTDATA("Сумма по полю Оплаченная сумма по задолженности на начало года",'[1]СВОД с расшиф'!$A$5,"Округ","ЦФО","Наименование территории","РЯЗАНСКАЯ ОБЛАСТЬ")</f>
        <v>295981.06999999995</v>
      </c>
      <c r="L74" s="199">
        <f>GETPIVOTDATA("Сумма по полю Оплаченная сумма по  выставленным счетам в отчетном периоде",'[1]СВОД с расшиф'!$A$5,"Округ","ЦФО","Наименование территории","РЯЗАНСКАЯ ОБЛАСТЬ")</f>
        <v>251502.69</v>
      </c>
      <c r="M74" s="199">
        <f>GETPIVOTDATA("Сумма по полю Оплаченная сумма за предыдущие  периоды",'[1]СВОД с расшиф'!$A$5,"Округ","ЦФО","Наименование территории","РЯЗАНСКАЯ ОБЛАСТЬ")</f>
        <v>0</v>
      </c>
      <c r="N74" s="200">
        <f t="shared" si="26"/>
        <v>0</v>
      </c>
      <c r="O74" s="152">
        <f t="shared" si="25"/>
        <v>0</v>
      </c>
      <c r="P74" s="198">
        <f>GETPIVOTDATA("Сумма по полю Сумма отклонения по  счетам задолженности на начало года",'[1]СВОД с расшиф'!$A$5,"Округ","ЦФО","Наименование территории","РЯЗАНСКАЯ ОБЛАСТЬ")</f>
        <v>0</v>
      </c>
      <c r="Q74" s="198">
        <f>GETPIVOTDATA("Сумма по полю Сумма отклонения по дешкам задолженности на начало года",'[1]СВОД с расшиф'!$A$5,"Округ","ЦФО","Наименование территории","РЯЗАНСКАЯ ОБЛАСТЬ")</f>
        <v>0</v>
      </c>
      <c r="R74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территории","РЯЗАНСКАЯ ОБЛАСТЬ")</f>
        <v>0</v>
      </c>
      <c r="S74" s="199">
        <f>GETPIVOTDATA("Сумма по полю Сумма отклонения по  выставленным счетам в отчетном периоде",'[1]СВОД с расшиф'!$A$5,"Округ","ЦФО","Наименование территории","РЯЗАНСКАЯ ОБЛАСТЬ")</f>
        <v>0</v>
      </c>
      <c r="T74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территории","РЯЗАНСКАЯ ОБЛАСТЬ")</f>
        <v>0</v>
      </c>
      <c r="U74" s="198">
        <f>GETPIVOTDATA("Сумма по полю Повторное отклонение по дешкам отчетного периода",'[1]СВОД с расшиф'!$A$5,"Округ","ЦФО","Наименование территории","РЯЗАНСКАЯ ОБЛАСТЬ")</f>
        <v>0</v>
      </c>
      <c r="V74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территории","РЯЗАНСКАЯ ОБЛАСТЬ")</f>
        <v>0</v>
      </c>
      <c r="W74" s="152">
        <f>GETPIVOTDATA("Сумма по полю Задолженность по счету",'[1]СВОД с расшиф'!$A$5,"Округ","ЦФО","Наименование территории","РЯЗАНСКАЯ ОБЛАСТЬ")</f>
        <v>215063.97</v>
      </c>
      <c r="X74" s="152">
        <f t="shared" si="27"/>
        <v>215063.96999999997</v>
      </c>
      <c r="Y74" s="152">
        <f t="shared" si="28"/>
        <v>0</v>
      </c>
      <c r="Z74" s="152">
        <f t="shared" si="29"/>
        <v>215063.96999999997</v>
      </c>
      <c r="AA74" s="152">
        <v>71282.849999999977</v>
      </c>
      <c r="AB74" s="152">
        <f t="shared" si="30"/>
        <v>143781.12</v>
      </c>
      <c r="AC74" s="152">
        <f t="shared" si="31"/>
        <v>215063.97000000003</v>
      </c>
      <c r="AD74" s="152">
        <f t="shared" si="32"/>
        <v>0</v>
      </c>
    </row>
    <row r="75" spans="1:33">
      <c r="A75" s="131"/>
      <c r="B75" s="151" t="s">
        <v>14</v>
      </c>
      <c r="C75" s="198">
        <v>0</v>
      </c>
      <c r="D75" s="198">
        <f>GETPIVOTDATA("Сумма по полю Сумма задолженности на начало года",'[1]СВОД с расшиф'!$A$5,"Округ","ЦФО","Наименование территории","СМОЛЕНСКАЯ ОБЛАСТЬ")</f>
        <v>0</v>
      </c>
      <c r="E75" s="152">
        <f t="shared" si="24"/>
        <v>5540.44</v>
      </c>
      <c r="F75" s="198">
        <f>GETPIVOTDATA("Сумма по полю Сумма задолженности на начало года повторно выставленные",'[1]СВОД с расшиф'!$A$5,"Округ","ЦФО","Наименование территории","СМОЛЕНСКАЯ ОБЛАСТЬ")</f>
        <v>0</v>
      </c>
      <c r="G75" s="199">
        <f>GETPIVOTDATA("Сумма по полю Сумма выставленного счета в отчетном периоде",'[1]СВОД с расшиф'!$A$5,"Округ","ЦФО","Наименование территории","СМОЛЕНСКАЯ ОБЛАСТЬ")</f>
        <v>5540.44</v>
      </c>
      <c r="H75" s="198">
        <f>GETPIVOTDATA("Сумма по полю Сумма повторно выставленного счета в отчетном периоде",'[1]СВОД с расшиф'!$A$5,"Округ","ЦФО","Наименование территории","СМОЛЕНСКАЯ ОБЛАСТЬ")</f>
        <v>0</v>
      </c>
      <c r="I75" s="198">
        <f>GETPIVOTDATA("Сумма по полю Сумма выставленного за предыдущие периоды",'[1]СВОД с расшиф'!$A$5,"Округ","ЦФО","Наименование территории","СМОЛЕНСКАЯ ОБЛАСТЬ")</f>
        <v>0</v>
      </c>
      <c r="J75" s="152">
        <f t="shared" si="33"/>
        <v>0</v>
      </c>
      <c r="K75" s="198">
        <f>GETPIVOTDATA("Сумма по полю Оплаченная сумма по задолженности на начало года",'[1]СВОД с расшиф'!$A$5,"Округ","ЦФО","Наименование территории","СМОЛЕНСКАЯ ОБЛАСТЬ")</f>
        <v>0</v>
      </c>
      <c r="L75" s="199">
        <f>GETPIVOTDATA("Сумма по полю Оплаченная сумма по  выставленным счетам в отчетном периоде",'[1]СВОД с расшиф'!$A$5,"Округ","ЦФО","Наименование территории","СМОЛЕНСКАЯ ОБЛАСТЬ")</f>
        <v>0</v>
      </c>
      <c r="M75" s="199">
        <f>GETPIVOTDATA("Сумма по полю Оплаченная сумма за предыдущие  периоды",'[1]СВОД с расшиф'!$A$5,"Округ","ЦФО","Наименование территории","СМОЛЕНСКАЯ ОБЛАСТЬ")</f>
        <v>0</v>
      </c>
      <c r="N75" s="200">
        <f t="shared" si="26"/>
        <v>0</v>
      </c>
      <c r="O75" s="152">
        <f t="shared" si="25"/>
        <v>0</v>
      </c>
      <c r="P75" s="198">
        <f>GETPIVOTDATA("Сумма по полю Сумма отклонения по  счетам задолженности на начало года",'[1]СВОД с расшиф'!$A$5,"Округ","ЦФО","Наименование территории","СМОЛЕНСКАЯ ОБЛАСТЬ")</f>
        <v>0</v>
      </c>
      <c r="Q75" s="198">
        <f>GETPIVOTDATA("Сумма по полю Сумма отклонения по дешкам задолженности на начало года",'[1]СВОД с расшиф'!$A$5,"Округ","ЦФО","Наименование территории","СМОЛЕНСКАЯ ОБЛАСТЬ")</f>
        <v>0</v>
      </c>
      <c r="R75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территории","СМОЛЕНСКАЯ ОБЛАСТЬ")</f>
        <v>0</v>
      </c>
      <c r="S75" s="199">
        <f>GETPIVOTDATA("Сумма по полю Сумма отклонения по  выставленным счетам в отчетном периоде",'[1]СВОД с расшиф'!$A$5,"Округ","ЦФО","Наименование территории","СМОЛЕНСКАЯ ОБЛАСТЬ")</f>
        <v>0</v>
      </c>
      <c r="T75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территории","СМОЛЕНСКАЯ ОБЛАСТЬ")</f>
        <v>0</v>
      </c>
      <c r="U75" s="198">
        <f>GETPIVOTDATA("Сумма по полю Повторное отклонение по дешкам отчетного периода",'[1]СВОД с расшиф'!$A$5,"Округ","ЦФО","Наименование территории","СМОЛЕНСКАЯ ОБЛАСТЬ")</f>
        <v>0</v>
      </c>
      <c r="V75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территории","СМОЛЕНСКАЯ ОБЛАСТЬ")</f>
        <v>0</v>
      </c>
      <c r="W75" s="152">
        <f>GETPIVOTDATA("Сумма по полю Задолженность по счету",'[1]СВОД с расшиф'!$A$5,"Округ","ЦФО","Наименование территории","СМОЛЕНСКАЯ ОБЛАСТЬ")</f>
        <v>5540.44</v>
      </c>
      <c r="X75" s="152">
        <f t="shared" si="27"/>
        <v>5540.44</v>
      </c>
      <c r="Y75" s="152">
        <f t="shared" si="28"/>
        <v>0</v>
      </c>
      <c r="Z75" s="152">
        <f t="shared" si="29"/>
        <v>5540.44</v>
      </c>
      <c r="AA75" s="152">
        <v>273.78999999999905</v>
      </c>
      <c r="AB75" s="152">
        <f t="shared" si="30"/>
        <v>5266.6500000000005</v>
      </c>
      <c r="AC75" s="152">
        <f t="shared" si="31"/>
        <v>5540.44</v>
      </c>
      <c r="AD75" s="152">
        <f t="shared" si="32"/>
        <v>0</v>
      </c>
    </row>
    <row r="76" spans="1:33">
      <c r="A76" s="131"/>
      <c r="B76" s="151" t="s">
        <v>15</v>
      </c>
      <c r="C76" s="198">
        <v>241249.43</v>
      </c>
      <c r="D76" s="198">
        <f>GETPIVOTDATA("Сумма по полю Сумма задолженности на начало года",'[1]СВОД с расшиф'!$A$5,"Округ","ЦФО","Наименование территории","ТАМБОВСКАЯ ОБЛАСТЬ")</f>
        <v>241249.43</v>
      </c>
      <c r="E76" s="152">
        <f t="shared" si="24"/>
        <v>1052997.28</v>
      </c>
      <c r="F76" s="198">
        <f>GETPIVOTDATA("Сумма по полю Сумма задолженности на начало года повторно выставленные",'[1]СВОД с расшиф'!$A$5,"Округ","ЦФО","Наименование территории","ТАМБОВСКАЯ ОБЛАСТЬ")</f>
        <v>0</v>
      </c>
      <c r="G76" s="199">
        <f>GETPIVOTDATA("Сумма по полю Сумма выставленного счета в отчетном периоде",'[1]СВОД с расшиф'!$A$5,"Округ","ЦФО","Наименование территории","ТАМБОВСКАЯ ОБЛАСТЬ")</f>
        <v>1052997.28</v>
      </c>
      <c r="H76" s="198">
        <f>GETPIVOTDATA("Сумма по полю Сумма повторно выставленного счета в отчетном периоде",'[1]СВОД с расшиф'!$A$5,"Округ","ЦФО","Наименование территории","ТАМБОВСКАЯ ОБЛАСТЬ")</f>
        <v>0</v>
      </c>
      <c r="I76" s="198">
        <f>GETPIVOTDATA("Сумма по полю Сумма выставленного за предыдущие периоды",'[1]СВОД с расшиф'!$A$5,"Округ","ЦФО","Наименование территории","ТАМБОВСКАЯ ОБЛАСТЬ")</f>
        <v>0</v>
      </c>
      <c r="J76" s="152">
        <f t="shared" si="33"/>
        <v>521205.49</v>
      </c>
      <c r="K76" s="198">
        <f>GETPIVOTDATA("Сумма по полю Оплаченная сумма по задолженности на начало года",'[1]СВОД с расшиф'!$A$5,"Округ","ЦФО","Наименование территории","ТАМБОВСКАЯ ОБЛАСТЬ")</f>
        <v>241249.43</v>
      </c>
      <c r="L76" s="199">
        <f>GETPIVOTDATA("Сумма по полю Оплаченная сумма по  выставленным счетам в отчетном периоде",'[1]СВОД с расшиф'!$A$5,"Округ","ЦФО","Наименование территории","ТАМБОВСКАЯ ОБЛАСТЬ")</f>
        <v>279956.06</v>
      </c>
      <c r="M76" s="199">
        <f>GETPIVOTDATA("Сумма по полю Оплаченная сумма за предыдущие  периоды",'[1]СВОД с расшиф'!$A$5,"Округ","ЦФО","Наименование территории","ТАМБОВСКАЯ ОБЛАСТЬ")</f>
        <v>0</v>
      </c>
      <c r="N76" s="200">
        <f t="shared" si="26"/>
        <v>0</v>
      </c>
      <c r="O76" s="152">
        <f t="shared" si="25"/>
        <v>0</v>
      </c>
      <c r="P76" s="198">
        <f>GETPIVOTDATA("Сумма по полю Сумма отклонения по  счетам задолженности на начало года",'[1]СВОД с расшиф'!$A$5,"Округ","ЦФО","Наименование территории","ТАМБОВСКАЯ ОБЛАСТЬ")</f>
        <v>0</v>
      </c>
      <c r="Q76" s="198">
        <f>GETPIVOTDATA("Сумма по полю Сумма отклонения по дешкам задолженности на начало года",'[1]СВОД с расшиф'!$A$5,"Округ","ЦФО","Наименование территории","ТАМБОВСКАЯ ОБЛАСТЬ")</f>
        <v>0</v>
      </c>
      <c r="R76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территории","ТАМБОВСКАЯ ОБЛАСТЬ")</f>
        <v>0</v>
      </c>
      <c r="S76" s="199">
        <f>GETPIVOTDATA("Сумма по полю Сумма отклонения по  выставленным счетам в отчетном периоде",'[1]СВОД с расшиф'!$A$5,"Округ","ЦФО","Наименование территории","ТАМБОВСКАЯ ОБЛАСТЬ")</f>
        <v>0</v>
      </c>
      <c r="T76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территории","ТАМБОВСКАЯ ОБЛАСТЬ")</f>
        <v>0</v>
      </c>
      <c r="U76" s="198">
        <f>GETPIVOTDATA("Сумма по полю Повторное отклонение по дешкам отчетного периода",'[1]СВОД с расшиф'!$A$5,"Округ","ЦФО","Наименование территории","ТАМБОВСКАЯ ОБЛАСТЬ")</f>
        <v>0</v>
      </c>
      <c r="V76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территории","ТАМБОВСКАЯ ОБЛАСТЬ")</f>
        <v>0</v>
      </c>
      <c r="W76" s="152">
        <f>GETPIVOTDATA("Сумма по полю Задолженность по счету",'[1]СВОД с расшиф'!$A$5,"Округ","ЦФО","Наименование территории","ТАМБОВСКАЯ ОБЛАСТЬ")</f>
        <v>773041.22</v>
      </c>
      <c r="X76" s="152">
        <f t="shared" si="27"/>
        <v>773041.22</v>
      </c>
      <c r="Y76" s="152">
        <f t="shared" si="28"/>
        <v>0</v>
      </c>
      <c r="Z76" s="152">
        <f t="shared" si="29"/>
        <v>773041.22</v>
      </c>
      <c r="AA76" s="152">
        <v>4159169.6699999981</v>
      </c>
      <c r="AB76" s="152">
        <f t="shared" si="30"/>
        <v>-3386128.4499999983</v>
      </c>
      <c r="AC76" s="152">
        <f t="shared" si="31"/>
        <v>773041.22</v>
      </c>
      <c r="AD76" s="152">
        <f t="shared" si="32"/>
        <v>0</v>
      </c>
    </row>
    <row r="77" spans="1:33">
      <c r="A77" s="131"/>
      <c r="B77" s="151" t="s">
        <v>16</v>
      </c>
      <c r="C77" s="198">
        <v>139753.60000000001</v>
      </c>
      <c r="D77" s="198">
        <f>GETPIVOTDATA("Сумма по полю Сумма задолженности на начало года",'[1]СВОД с расшиф'!$A$5,"Округ","ЦФО","Наименование территории","ТВЕРСКАЯ ОБЛАСТЬ")</f>
        <v>139753.60000000001</v>
      </c>
      <c r="E77" s="152">
        <f t="shared" si="24"/>
        <v>197065.31</v>
      </c>
      <c r="F77" s="198">
        <f>GETPIVOTDATA("Сумма по полю Сумма задолженности на начало года повторно выставленные",'[1]СВОД с расшиф'!$A$5,"Округ","ЦФО","Наименование территории","ТВЕРСКАЯ ОБЛАСТЬ")</f>
        <v>0</v>
      </c>
      <c r="G77" s="199">
        <f>GETPIVOTDATA("Сумма по полю Сумма выставленного счета в отчетном периоде",'[1]СВОД с расшиф'!$A$5,"Округ","ЦФО","Наименование территории","ТВЕРСКАЯ ОБЛАСТЬ")</f>
        <v>197065.31</v>
      </c>
      <c r="H77" s="198">
        <f>GETPIVOTDATA("Сумма по полю Сумма повторно выставленного счета в отчетном периоде",'[1]СВОД с расшиф'!$A$5,"Округ","ЦФО","Наименование территории","ТВЕРСКАЯ ОБЛАСТЬ")</f>
        <v>0</v>
      </c>
      <c r="I77" s="198">
        <f>GETPIVOTDATA("Сумма по полю Сумма выставленного за предыдущие периоды",'[1]СВОД с расшиф'!$A$5,"Округ","ЦФО","Наименование территории","ТВЕРСКАЯ ОБЛАСТЬ")</f>
        <v>0</v>
      </c>
      <c r="J77" s="152">
        <f t="shared" si="33"/>
        <v>208072.56</v>
      </c>
      <c r="K77" s="198">
        <f>GETPIVOTDATA("Сумма по полю Оплаченная сумма по задолженности на начало года",'[1]СВОД с расшиф'!$A$5,"Округ","ЦФО","Наименование территории","ТВЕРСКАЯ ОБЛАСТЬ")</f>
        <v>139753.60000000001</v>
      </c>
      <c r="L77" s="199">
        <f>GETPIVOTDATA("Сумма по полю Оплаченная сумма по  выставленным счетам в отчетном периоде",'[1]СВОД с расшиф'!$A$5,"Округ","ЦФО","Наименование территории","ТВЕРСКАЯ ОБЛАСТЬ")</f>
        <v>68318.959999999992</v>
      </c>
      <c r="M77" s="199">
        <f>GETPIVOTDATA("Сумма по полю Оплаченная сумма за предыдущие  периоды",'[1]СВОД с расшиф'!$A$5,"Округ","ЦФО","Наименование территории","ТВЕРСКАЯ ОБЛАСТЬ")</f>
        <v>0</v>
      </c>
      <c r="N77" s="200">
        <f t="shared" si="26"/>
        <v>1278.99</v>
      </c>
      <c r="O77" s="152">
        <f t="shared" si="25"/>
        <v>1278.99</v>
      </c>
      <c r="P77" s="198">
        <f>GETPIVOTDATA("Сумма по полю Сумма отклонения по  счетам задолженности на начало года",'[1]СВОД с расшиф'!$A$5,"Округ","ЦФО","Наименование территории","ТВЕРСКАЯ ОБЛАСТЬ")</f>
        <v>0</v>
      </c>
      <c r="Q77" s="198">
        <f>GETPIVOTDATA("Сумма по полю Сумма отклонения по дешкам задолженности на начало года",'[1]СВОД с расшиф'!$A$5,"Округ","ЦФО","Наименование территории","ТВЕРСКАЯ ОБЛАСТЬ")</f>
        <v>0</v>
      </c>
      <c r="R77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территории","ТВЕРСКАЯ ОБЛАСТЬ")</f>
        <v>0</v>
      </c>
      <c r="S77" s="199">
        <f>GETPIVOTDATA("Сумма по полю Сумма отклонения по  выставленным счетам в отчетном периоде",'[1]СВОД с расшиф'!$A$5,"Округ","ЦФО","Наименование территории","ТВЕРСКАЯ ОБЛАСТЬ")</f>
        <v>1278.99</v>
      </c>
      <c r="T77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территории","ТВЕРСКАЯ ОБЛАСТЬ")</f>
        <v>0</v>
      </c>
      <c r="U77" s="198">
        <f>GETPIVOTDATA("Сумма по полю Повторное отклонение по дешкам отчетного периода",'[1]СВОД с расшиф'!$A$5,"Округ","ЦФО","Наименование территории","ТВЕРСКАЯ ОБЛАСТЬ")</f>
        <v>0</v>
      </c>
      <c r="V77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территории","ТВЕРСКАЯ ОБЛАСТЬ")</f>
        <v>0</v>
      </c>
      <c r="W77" s="152">
        <f>GETPIVOTDATA("Сумма по полю Задолженность по счету",'[1]СВОД с расшиф'!$A$5,"Округ","ЦФО","Наименование территории","ТВЕРСКАЯ ОБЛАСТЬ")</f>
        <v>127467.36</v>
      </c>
      <c r="X77" s="152">
        <f t="shared" si="27"/>
        <v>127467.36000000003</v>
      </c>
      <c r="Y77" s="152">
        <f t="shared" si="28"/>
        <v>0</v>
      </c>
      <c r="Z77" s="152">
        <f t="shared" si="29"/>
        <v>127467.36000000003</v>
      </c>
      <c r="AA77" s="152">
        <v>191474.03000000003</v>
      </c>
      <c r="AB77" s="152">
        <f t="shared" si="30"/>
        <v>-64006.67</v>
      </c>
      <c r="AC77" s="152">
        <f t="shared" si="31"/>
        <v>127467.36000000003</v>
      </c>
      <c r="AD77" s="152">
        <f t="shared" si="32"/>
        <v>0</v>
      </c>
    </row>
    <row r="78" spans="1:33">
      <c r="A78" s="131"/>
      <c r="B78" s="151" t="s">
        <v>17</v>
      </c>
      <c r="C78" s="198">
        <v>70610.7</v>
      </c>
      <c r="D78" s="198">
        <f>GETPIVOTDATA("Сумма по полю Сумма задолженности на начало года",'[1]СВОД с расшиф'!$A$5,"Округ","ЦФО","Наименование территории","ТУЛЬСКАЯ ОБЛАСТЬ")</f>
        <v>70610.7</v>
      </c>
      <c r="E78" s="152">
        <f t="shared" si="24"/>
        <v>350368.94999999995</v>
      </c>
      <c r="F78" s="198">
        <f>GETPIVOTDATA("Сумма по полю Сумма задолженности на начало года повторно выставленные",'[1]СВОД с расшиф'!$A$5,"Округ","ЦФО","Наименование территории","ТУЛЬСКАЯ ОБЛАСТЬ")</f>
        <v>0</v>
      </c>
      <c r="G78" s="199">
        <f>GETPIVOTDATA("Сумма по полю Сумма выставленного счета в отчетном периоде",'[1]СВОД с расшиф'!$A$5,"Округ","ЦФО","Наименование территории","ТУЛЬСКАЯ ОБЛАСТЬ")</f>
        <v>350368.94999999995</v>
      </c>
      <c r="H78" s="198">
        <f>GETPIVOTDATA("Сумма по полю Сумма повторно выставленного счета в отчетном периоде",'[1]СВОД с расшиф'!$A$5,"Округ","ЦФО","Наименование территории","ТУЛЬСКАЯ ОБЛАСТЬ")</f>
        <v>0</v>
      </c>
      <c r="I78" s="198">
        <f>GETPIVOTDATA("Сумма по полю Сумма выставленного за предыдущие периоды",'[1]СВОД с расшиф'!$A$5,"Округ","ЦФО","Наименование территории","ТУЛЬСКАЯ ОБЛАСТЬ")</f>
        <v>0</v>
      </c>
      <c r="J78" s="152">
        <f t="shared" si="33"/>
        <v>243535.95999999996</v>
      </c>
      <c r="K78" s="198">
        <f>GETPIVOTDATA("Сумма по полю Оплаченная сумма по задолженности на начало года",'[1]СВОД с расшиф'!$A$5,"Округ","ЦФО","Наименование территории","ТУЛЬСКАЯ ОБЛАСТЬ")</f>
        <v>70610.7</v>
      </c>
      <c r="L78" s="199">
        <f>GETPIVOTDATA("Сумма по полю Оплаченная сумма по  выставленным счетам в отчетном периоде",'[1]СВОД с расшиф'!$A$5,"Округ","ЦФО","Наименование территории","ТУЛЬСКАЯ ОБЛАСТЬ")</f>
        <v>172925.25999999998</v>
      </c>
      <c r="M78" s="199">
        <f>GETPIVOTDATA("Сумма по полю Оплаченная сумма за предыдущие  периоды",'[1]СВОД с расшиф'!$A$5,"Округ","ЦФО","Наименование территории","ТУЛЬСКАЯ ОБЛАСТЬ")</f>
        <v>0</v>
      </c>
      <c r="N78" s="200">
        <f t="shared" si="26"/>
        <v>0</v>
      </c>
      <c r="O78" s="152">
        <f t="shared" si="25"/>
        <v>0</v>
      </c>
      <c r="P78" s="198">
        <f>GETPIVOTDATA("Сумма по полю Сумма отклонения по  счетам задолженности на начало года",'[1]СВОД с расшиф'!$A$5,"Округ","ЦФО","Наименование территории","ТУЛЬСКАЯ ОБЛАСТЬ")</f>
        <v>0</v>
      </c>
      <c r="Q78" s="198">
        <f>GETPIVOTDATA("Сумма по полю Сумма отклонения по дешкам задолженности на начало года",'[1]СВОД с расшиф'!$A$5,"Округ","ЦФО","Наименование территории","ТУЛЬСКАЯ ОБЛАСТЬ")</f>
        <v>0</v>
      </c>
      <c r="R78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территории","ТУЛЬСКАЯ ОБЛАСТЬ")</f>
        <v>0</v>
      </c>
      <c r="S78" s="199">
        <f>GETPIVOTDATA("Сумма по полю Сумма отклонения по  выставленным счетам в отчетном периоде",'[1]СВОД с расшиф'!$A$5,"Округ","ЦФО","Наименование территории","ТУЛЬСКАЯ ОБЛАСТЬ")</f>
        <v>0</v>
      </c>
      <c r="T78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территории","ТУЛЬСКАЯ ОБЛАСТЬ")</f>
        <v>0</v>
      </c>
      <c r="U78" s="198">
        <f>GETPIVOTDATA("Сумма по полю Повторное отклонение по дешкам отчетного периода",'[1]СВОД с расшиф'!$A$5,"Округ","ЦФО","Наименование территории","ТУЛЬСКАЯ ОБЛАСТЬ")</f>
        <v>0</v>
      </c>
      <c r="V78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территории","ТУЛЬСКАЯ ОБЛАСТЬ")</f>
        <v>0</v>
      </c>
      <c r="W78" s="152">
        <f>GETPIVOTDATA("Сумма по полю Задолженность по счету",'[1]СВОД с расшиф'!$A$5,"Округ","ЦФО","Наименование территории","ТУЛЬСКАЯ ОБЛАСТЬ")</f>
        <v>177443.69</v>
      </c>
      <c r="X78" s="152">
        <f t="shared" si="27"/>
        <v>177443.69</v>
      </c>
      <c r="Y78" s="152">
        <f t="shared" si="28"/>
        <v>0</v>
      </c>
      <c r="Z78" s="152">
        <f t="shared" si="29"/>
        <v>177443.69</v>
      </c>
      <c r="AA78" s="152">
        <v>258331.82999999996</v>
      </c>
      <c r="AB78" s="152">
        <f t="shared" si="30"/>
        <v>-80888.139999999956</v>
      </c>
      <c r="AC78" s="152">
        <f t="shared" si="31"/>
        <v>177443.68999999997</v>
      </c>
      <c r="AD78" s="152">
        <f t="shared" si="32"/>
        <v>0</v>
      </c>
    </row>
    <row r="79" spans="1:33">
      <c r="A79" s="131"/>
      <c r="B79" s="151" t="s">
        <v>18</v>
      </c>
      <c r="C79" s="198">
        <v>3973.69</v>
      </c>
      <c r="D79" s="198">
        <f>GETPIVOTDATA("Сумма по полю Сумма задолженности на начало года",'[1]СВОД с расшиф'!$A$5,"Округ","ЦФО","Наименование территории","ЯРОСЛАВСКАЯ ОБЛАСТЬ")</f>
        <v>3973.69</v>
      </c>
      <c r="E79" s="152">
        <f t="shared" si="24"/>
        <v>88219.68</v>
      </c>
      <c r="F79" s="198">
        <f>GETPIVOTDATA("Сумма по полю Сумма задолженности на начало года повторно выставленные",'[1]СВОД с расшиф'!$A$5,"Округ","ЦФО","Наименование территории","ЯРОСЛАВСКАЯ ОБЛАСТЬ")</f>
        <v>0</v>
      </c>
      <c r="G79" s="199">
        <f>GETPIVOTDATA("Сумма по полю Сумма выставленного счета в отчетном периоде",'[1]СВОД с расшиф'!$A$5,"Округ","ЦФО","Наименование территории","ЯРОСЛАВСКАЯ ОБЛАСТЬ")</f>
        <v>88219.68</v>
      </c>
      <c r="H79" s="198">
        <f>GETPIVOTDATA("Сумма по полю Сумма повторно выставленного счета в отчетном периоде",'[1]СВОД с расшиф'!$A$5,"Округ","ЦФО","Наименование территории","ЯРОСЛАВСКАЯ ОБЛАСТЬ")</f>
        <v>0</v>
      </c>
      <c r="I79" s="198">
        <f>GETPIVOTDATA("Сумма по полю Сумма выставленного за предыдущие периоды",'[1]СВОД с расшиф'!$A$5,"Округ","ЦФО","Наименование территории","ЯРОСЛАВСКАЯ ОБЛАСТЬ")</f>
        <v>0</v>
      </c>
      <c r="J79" s="152">
        <f t="shared" si="33"/>
        <v>55918.78</v>
      </c>
      <c r="K79" s="198">
        <f>GETPIVOTDATA("Сумма по полю Оплаченная сумма по задолженности на начало года",'[1]СВОД с расшиф'!$A$5,"Округ","ЦФО","Наименование территории","ЯРОСЛАВСКАЯ ОБЛАСТЬ")</f>
        <v>3973.69</v>
      </c>
      <c r="L79" s="199">
        <f>GETPIVOTDATA("Сумма по полю Оплаченная сумма по  выставленным счетам в отчетном периоде",'[1]СВОД с расшиф'!$A$5,"Округ","ЦФО","Наименование территории","ЯРОСЛАВСКАЯ ОБЛАСТЬ")</f>
        <v>51945.09</v>
      </c>
      <c r="M79" s="199">
        <f>GETPIVOTDATA("Сумма по полю Оплаченная сумма за предыдущие  периоды",'[1]СВОД с расшиф'!$A$5,"Округ","ЦФО","Наименование территории","ЯРОСЛАВСКАЯ ОБЛАСТЬ")</f>
        <v>0</v>
      </c>
      <c r="N79" s="200">
        <f t="shared" si="26"/>
        <v>0</v>
      </c>
      <c r="O79" s="152">
        <f t="shared" si="25"/>
        <v>0</v>
      </c>
      <c r="P79" s="198">
        <f>GETPIVOTDATA("Сумма по полю Сумма отклонения по  счетам задолженности на начало года",'[1]СВОД с расшиф'!$A$5,"Округ","ЦФО","Наименование территории","ЯРОСЛАВСКАЯ ОБЛАСТЬ")</f>
        <v>0</v>
      </c>
      <c r="Q79" s="198">
        <f>GETPIVOTDATA("Сумма по полю Сумма отклонения по дешкам задолженности на начало года",'[1]СВОД с расшиф'!$A$5,"Округ","ЦФО","Наименование территории","ЯРОСЛАВСКАЯ ОБЛАСТЬ")</f>
        <v>0</v>
      </c>
      <c r="R79" s="198">
        <f>GETPIVOTDATA("Сумма по полю Повтороное отклонение по дешкам задолженности на начало года",'[1]СВОД с расшиф'!$A$5,"Округ","ЦФО","Наименование территории","ЯРОСЛАВСКАЯ ОБЛАСТЬ")</f>
        <v>0</v>
      </c>
      <c r="S79" s="199">
        <f>GETPIVOTDATA("Сумма по полю Сумма отклонения по  выставленным счетам в отчетном периоде",'[1]СВОД с расшиф'!$A$5,"Округ","ЦФО","Наименование территории","ЯРОСЛАВСКАЯ ОБЛАСТЬ")</f>
        <v>0</v>
      </c>
      <c r="T79" s="198">
        <f>GETPIVOTDATA("Сумма по полю Сумма отклонения по  выставленным счетам в отчетном периоде по дешкам",'[1]СВОД с расшиф'!$A$5,"Округ","ЦФО","Наименование территории","ЯРОСЛАВСКАЯ ОБЛАСТЬ")</f>
        <v>0</v>
      </c>
      <c r="U79" s="198">
        <f>GETPIVOTDATA("Сумма по полю Повторное отклонение по дешкам отчетного периода",'[1]СВОД с расшиф'!$A$5,"Округ","ЦФО","Наименование территории","ЯРОСЛАВСКАЯ ОБЛАСТЬ")</f>
        <v>0</v>
      </c>
      <c r="V79" s="198">
        <f>GETPIVOTDATA("Сумма по полю Сумма отклонения по  выставленным счетам за предыдущие периоды",'[1]СВОД с расшиф'!$A$5,"Округ","ЦФО","Наименование территории","ЯРОСЛАВСКАЯ ОБЛАСТЬ")</f>
        <v>0</v>
      </c>
      <c r="W79" s="152">
        <f>GETPIVOTDATA("Сумма по полю Задолженность по счету",'[1]СВОД с расшиф'!$A$5,"Округ","ЦФО","Наименование территории","ЯРОСЛАВСКАЯ ОБЛАСТЬ")</f>
        <v>36274.589999999997</v>
      </c>
      <c r="X79" s="152">
        <f t="shared" si="27"/>
        <v>36274.589999999997</v>
      </c>
      <c r="Y79" s="152">
        <f t="shared" si="28"/>
        <v>0</v>
      </c>
      <c r="Z79" s="152">
        <f t="shared" si="29"/>
        <v>36274.589999999997</v>
      </c>
      <c r="AA79" s="152">
        <v>13215.600000000006</v>
      </c>
      <c r="AB79" s="152">
        <f t="shared" si="30"/>
        <v>23058.989999999991</v>
      </c>
      <c r="AC79" s="152">
        <f t="shared" si="31"/>
        <v>36274.589999999997</v>
      </c>
      <c r="AD79" s="152">
        <f t="shared" si="32"/>
        <v>0</v>
      </c>
    </row>
    <row r="80" spans="1:33">
      <c r="A80" s="153" t="s">
        <v>132</v>
      </c>
      <c r="B80" s="154"/>
      <c r="C80" s="201">
        <f>SUM(C62:C79)</f>
        <v>72873336.950000003</v>
      </c>
      <c r="D80" s="202">
        <f>SUM(D62:D79)</f>
        <v>72873336.950000003</v>
      </c>
      <c r="E80" s="155">
        <f>SUM(E62:E79)</f>
        <v>143231128.28</v>
      </c>
      <c r="F80" s="202">
        <f>SUM(F62:F79)</f>
        <v>0</v>
      </c>
      <c r="G80" s="202">
        <f t="shared" ref="G80:W80" si="34">SUM(G62:G79)</f>
        <v>143231128.28</v>
      </c>
      <c r="H80" s="202">
        <f t="shared" si="34"/>
        <v>0</v>
      </c>
      <c r="I80" s="202">
        <f t="shared" si="34"/>
        <v>0</v>
      </c>
      <c r="J80" s="155">
        <f t="shared" si="34"/>
        <v>152898025.06000003</v>
      </c>
      <c r="K80" s="202">
        <f t="shared" si="34"/>
        <v>72873336.950000003</v>
      </c>
      <c r="L80" s="202">
        <f t="shared" si="34"/>
        <v>80024688.110000014</v>
      </c>
      <c r="M80" s="202">
        <f t="shared" si="34"/>
        <v>0</v>
      </c>
      <c r="N80" s="203">
        <f t="shared" si="26"/>
        <v>1278.99</v>
      </c>
      <c r="O80" s="185">
        <f>SUM(O62:O79)</f>
        <v>1278.99</v>
      </c>
      <c r="P80" s="202">
        <f t="shared" si="34"/>
        <v>0</v>
      </c>
      <c r="Q80" s="202">
        <f t="shared" si="34"/>
        <v>0</v>
      </c>
      <c r="R80" s="202">
        <f t="shared" si="34"/>
        <v>0</v>
      </c>
      <c r="S80" s="202">
        <f t="shared" si="34"/>
        <v>1278.99</v>
      </c>
      <c r="T80" s="202">
        <f t="shared" si="34"/>
        <v>0</v>
      </c>
      <c r="U80" s="202">
        <f t="shared" si="34"/>
        <v>0</v>
      </c>
      <c r="V80" s="202">
        <f t="shared" si="34"/>
        <v>0</v>
      </c>
      <c r="W80" s="155">
        <f t="shared" si="34"/>
        <v>63205161.179999985</v>
      </c>
      <c r="X80" s="204">
        <f t="shared" si="27"/>
        <v>63205161.179999985</v>
      </c>
      <c r="Y80" s="204">
        <f t="shared" si="28"/>
        <v>0</v>
      </c>
      <c r="Z80" s="155">
        <f t="shared" si="29"/>
        <v>63205161.179999985</v>
      </c>
      <c r="AA80" s="155">
        <v>49938918.910000011</v>
      </c>
      <c r="AB80" s="155">
        <f t="shared" si="30"/>
        <v>13266242.269999973</v>
      </c>
      <c r="AC80" s="155">
        <f t="shared" si="31"/>
        <v>63205161.180000015</v>
      </c>
      <c r="AD80" s="155">
        <f t="shared" si="32"/>
        <v>0</v>
      </c>
    </row>
    <row r="81" spans="1:30">
      <c r="A81" s="131" t="s">
        <v>133</v>
      </c>
      <c r="B81" s="151" t="s">
        <v>32</v>
      </c>
      <c r="C81" s="198">
        <v>46014.85</v>
      </c>
      <c r="D81" s="198">
        <f>GETPIVOTDATA("Сумма по полю Сумма задолженности на начало года",'[1]СВОД с расшиф'!$A$5,"Округ","ЮФО","Наименование территории","АСТРАХАНСКАЯ ОБЛАСТЬ")</f>
        <v>46014.85</v>
      </c>
      <c r="E81" s="152">
        <f>F81+G81+H81+I81</f>
        <v>206524.87</v>
      </c>
      <c r="F81" s="198">
        <f>GETPIVOTDATA("Сумма по полю Сумма задолженности на начало года повторно выставленные",'[1]СВОД с расшиф'!$A$5,"Округ","ЮФО","Наименование территории","АСТРАХАНСКАЯ ОБЛАСТЬ")</f>
        <v>0</v>
      </c>
      <c r="G81" s="199">
        <f>GETPIVOTDATA("Сумма по полю Сумма выставленного счета в отчетном периоде",'[1]СВОД с расшиф'!$A$5,"Округ","ЮФО","Наименование территории","АСТРАХАНСКАЯ ОБЛАСТЬ")</f>
        <v>206524.87</v>
      </c>
      <c r="H81" s="198">
        <f>GETPIVOTDATA("Сумма по полю Сумма повторно выставленного счета в отчетном периоде",'[1]СВОД с расшиф'!$A$5,"Округ","ЮФО","Наименование территории","АСТРАХАНСКАЯ ОБЛАСТЬ")</f>
        <v>0</v>
      </c>
      <c r="I81" s="198">
        <f>GETPIVOTDATA("Сумма по полю Сумма выставленного за предыдущие периоды",'[1]СВОД с расшиф'!$A$5,"Округ","ЮФО","Наименование территории","АСТРАХАНСКАЯ ОБЛАСТЬ")</f>
        <v>0</v>
      </c>
      <c r="J81" s="152">
        <f t="shared" si="33"/>
        <v>49605.259999999995</v>
      </c>
      <c r="K81" s="198">
        <f>GETPIVOTDATA("Сумма по полю Оплаченная сумма по задолженности на начало года",'[1]СВОД с расшиф'!$A$5,"Округ","ЮФО","Наименование территории","АСТРАХАНСКАЯ ОБЛАСТЬ")</f>
        <v>46014.85</v>
      </c>
      <c r="L81" s="199">
        <f>GETPIVOTDATA("Сумма по полю Оплаченная сумма по  выставленным счетам в отчетном периоде",'[1]СВОД с расшиф'!$A$5,"Округ","ЮФО","Наименование территории","АСТРАХАНСКАЯ ОБЛАСТЬ")</f>
        <v>3590.41</v>
      </c>
      <c r="M81" s="199">
        <f>GETPIVOTDATA("Сумма по полю Оплаченная сумма за предыдущие  периоды",'[1]СВОД с расшиф'!$A$5,"Округ","ЮФО","Наименование территории","АСТРАХАНСКАЯ ОБЛАСТЬ")</f>
        <v>0</v>
      </c>
      <c r="N81" s="200">
        <f t="shared" si="26"/>
        <v>0</v>
      </c>
      <c r="O81" s="152">
        <f>P81+Q81+R81+S81+T81+U81+V81</f>
        <v>0</v>
      </c>
      <c r="P81" s="198">
        <f>GETPIVOTDATA("Сумма по полю Сумма отклонения по  счетам задолженности на начало года",'[1]СВОД с расшиф'!$A$5,"Округ","ЮФО","Наименование территории","АСТРАХАНСКАЯ ОБЛАСТЬ")</f>
        <v>0</v>
      </c>
      <c r="Q81" s="198">
        <f>GETPIVOTDATA("Сумма по полю Сумма отклонения по дешкам задолженности на начало года",'[1]СВОД с расшиф'!$A$5,"Округ","ЮФО","Наименование территории","АСТРАХАНСКАЯ ОБЛАСТЬ")</f>
        <v>0</v>
      </c>
      <c r="R81" s="198">
        <f>GETPIVOTDATA("Сумма по полю Повтороное отклонение по дешкам задолженности на начало года",'[1]СВОД с расшиф'!$A$5,"Округ","ЮФО","Наименование территории","АСТРАХАНСКАЯ ОБЛАСТЬ")</f>
        <v>0</v>
      </c>
      <c r="S81" s="199">
        <f>GETPIVOTDATA("Сумма по полю Сумма отклонения по  выставленным счетам в отчетном периоде",'[1]СВОД с расшиф'!$A$5,"Округ","ЮФО","Наименование территории","АСТРАХАНСКАЯ ОБЛАСТЬ")</f>
        <v>0</v>
      </c>
      <c r="T81" s="198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территории","АСТРАХАНСКАЯ ОБЛАСТЬ")</f>
        <v>0</v>
      </c>
      <c r="U81" s="198">
        <f>GETPIVOTDATA("Сумма по полю Повторное отклонение по дешкам отчетного периода",'[1]СВОД с расшиф'!$A$5,"Округ","ЮФО","Наименование территории","АСТРАХАНСКАЯ ОБЛАСТЬ")</f>
        <v>0</v>
      </c>
      <c r="V81" s="198">
        <f>GETPIVOTDATA("Сумма по полю Сумма отклонения по  выставленным счетам за предыдущие периоды",'[1]СВОД с расшиф'!$A$5,"Округ","ЮФО","Наименование территории","АСТРАХАНСКАЯ ОБЛАСТЬ")</f>
        <v>0</v>
      </c>
      <c r="W81" s="152">
        <f>GETPIVOTDATA("Сумма по полю Задолженность по счету",'[1]СВОД с расшиф'!$A$5,"Округ","ЮФО","Наименование территории","АСТРАХАНСКАЯ ОБЛАСТЬ")</f>
        <v>202934.46</v>
      </c>
      <c r="X81" s="152">
        <f t="shared" si="27"/>
        <v>202934.46000000002</v>
      </c>
      <c r="Y81" s="152">
        <f t="shared" si="28"/>
        <v>0</v>
      </c>
      <c r="Z81" s="152">
        <f t="shared" si="29"/>
        <v>202934.46000000002</v>
      </c>
      <c r="AA81" s="152">
        <v>152838.26999999996</v>
      </c>
      <c r="AB81" s="152">
        <f t="shared" si="30"/>
        <v>50096.190000000061</v>
      </c>
      <c r="AC81" s="152">
        <f t="shared" si="31"/>
        <v>202934.46</v>
      </c>
      <c r="AD81" s="152">
        <f t="shared" si="32"/>
        <v>0</v>
      </c>
    </row>
    <row r="82" spans="1:30">
      <c r="A82" s="131"/>
      <c r="B82" s="151" t="s">
        <v>33</v>
      </c>
      <c r="C82" s="198">
        <v>108407</v>
      </c>
      <c r="D82" s="198">
        <f>GETPIVOTDATA("Сумма по полю Сумма задолженности на начало года",'[1]СВОД с расшиф'!$A$5,"Округ","ЮФО","Наименование территории","ВОЛГОГРАДСКАЯ ОБЛАСТЬ")</f>
        <v>108407</v>
      </c>
      <c r="E82" s="152">
        <f t="shared" ref="E82:E89" si="35">F82+G82+H82+I82</f>
        <v>284917</v>
      </c>
      <c r="F82" s="198">
        <f>GETPIVOTDATA("Сумма по полю Сумма задолженности на начало года повторно выставленные",'[1]СВОД с расшиф'!$A$5,"Округ","ЮФО","Наименование территории","ВОЛГОГРАДСКАЯ ОБЛАСТЬ")</f>
        <v>0</v>
      </c>
      <c r="G82" s="199">
        <f>GETPIVOTDATA("Сумма по полю Сумма выставленного счета в отчетном периоде",'[1]СВОД с расшиф'!$A$5,"Округ","ЮФО","Наименование территории","ВОЛГОГРАДСКАЯ ОБЛАСТЬ")</f>
        <v>284917</v>
      </c>
      <c r="H82" s="198">
        <f>GETPIVOTDATA("Сумма по полю Сумма повторно выставленного счета в отчетном периоде",'[1]СВОД с расшиф'!$A$5,"Округ","ЮФО","Наименование территории","ВОЛГОГРАДСКАЯ ОБЛАСТЬ")</f>
        <v>0</v>
      </c>
      <c r="I82" s="198">
        <f>GETPIVOTDATA("Сумма по полю Сумма выставленного за предыдущие периоды",'[1]СВОД с расшиф'!$A$5,"Округ","ЮФО","Наименование территории","ВОЛГОГРАДСКАЯ ОБЛАСТЬ")</f>
        <v>0</v>
      </c>
      <c r="J82" s="152">
        <f t="shared" si="33"/>
        <v>286240</v>
      </c>
      <c r="K82" s="198">
        <f>GETPIVOTDATA("Сумма по полю Оплаченная сумма по задолженности на начало года",'[1]СВОД с расшиф'!$A$5,"Округ","ЮФО","Наименование территории","ВОЛГОГРАДСКАЯ ОБЛАСТЬ")</f>
        <v>104995</v>
      </c>
      <c r="L82" s="199">
        <f>GETPIVOTDATA("Сумма по полю Оплаченная сумма по  выставленным счетам в отчетном периоде",'[1]СВОД с расшиф'!$A$5,"Округ","ЮФО","Наименование территории","ВОЛГОГРАДСКАЯ ОБЛАСТЬ")</f>
        <v>181245</v>
      </c>
      <c r="M82" s="199">
        <f>GETPIVOTDATA("Сумма по полю Оплаченная сумма за предыдущие  периоды",'[1]СВОД с расшиф'!$A$5,"Округ","ЮФО","Наименование территории","ВОЛГОГРАДСКАЯ ОБЛАСТЬ")</f>
        <v>0</v>
      </c>
      <c r="N82" s="200">
        <f t="shared" si="26"/>
        <v>3412</v>
      </c>
      <c r="O82" s="152">
        <f t="shared" ref="O82:O92" si="36">P82+Q82+R82+S82+T82+U82+V82</f>
        <v>3412</v>
      </c>
      <c r="P82" s="198">
        <f>GETPIVOTDATA("Сумма по полю Сумма отклонения по  счетам задолженности на начало года",'[1]СВОД с расшиф'!$A$5,"Округ","ЮФО","Наименование территории","ВОЛГОГРАДСКАЯ ОБЛАСТЬ")</f>
        <v>3412</v>
      </c>
      <c r="Q82" s="198">
        <f>GETPIVOTDATA("Сумма по полю Сумма отклонения по дешкам задолженности на начало года",'[1]СВОД с расшиф'!$A$5,"Округ","ЮФО","Наименование территории","ВОЛГОГРАДСКАЯ ОБЛАСТЬ")</f>
        <v>0</v>
      </c>
      <c r="R82" s="198">
        <f>GETPIVOTDATA("Сумма по полю Повтороное отклонение по дешкам задолженности на начало года",'[1]СВОД с расшиф'!$A$5,"Округ","ЮФО","Наименование территории","ВОЛГОГРАДСКАЯ ОБЛАСТЬ")</f>
        <v>0</v>
      </c>
      <c r="S82" s="199">
        <f>GETPIVOTDATA("Сумма по полю Сумма отклонения по  выставленным счетам в отчетном периоде",'[1]СВОД с расшиф'!$A$5,"Округ","ЮФО","Наименование территории","ВОЛГОГРАДСКАЯ ОБЛАСТЬ")</f>
        <v>0</v>
      </c>
      <c r="T82" s="198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территории","ВОЛГОГРАДСКАЯ ОБЛАСТЬ")</f>
        <v>0</v>
      </c>
      <c r="U82" s="198">
        <f>GETPIVOTDATA("Сумма по полю Повторное отклонение по дешкам отчетного периода",'[1]СВОД с расшиф'!$A$5,"Округ","ЮФО","Наименование территории","ВОЛГОГРАДСКАЯ ОБЛАСТЬ")</f>
        <v>0</v>
      </c>
      <c r="V82" s="198">
        <f>GETPIVOTDATA("Сумма по полю Сумма отклонения по  выставленным счетам за предыдущие периоды",'[1]СВОД с расшиф'!$A$5,"Округ","ЮФО","Наименование территории","ВОЛГОГРАДСКАЯ ОБЛАСТЬ")</f>
        <v>0</v>
      </c>
      <c r="W82" s="152">
        <f>GETPIVOTDATA("Сумма по полю Задолженность по счету",'[1]СВОД с расшиф'!$A$5,"Округ","ЮФО","Наименование территории","ВОЛГОГРАДСКАЯ ОБЛАСТЬ")</f>
        <v>103672</v>
      </c>
      <c r="X82" s="152">
        <f t="shared" si="27"/>
        <v>103672</v>
      </c>
      <c r="Y82" s="152">
        <f t="shared" si="28"/>
        <v>0</v>
      </c>
      <c r="Z82" s="152">
        <f t="shared" si="29"/>
        <v>103672</v>
      </c>
      <c r="AA82" s="152">
        <v>603734</v>
      </c>
      <c r="AB82" s="152">
        <f t="shared" si="30"/>
        <v>-500062</v>
      </c>
      <c r="AC82" s="152">
        <f t="shared" si="31"/>
        <v>103672</v>
      </c>
      <c r="AD82" s="152">
        <f t="shared" si="32"/>
        <v>0</v>
      </c>
    </row>
    <row r="83" spans="1:30">
      <c r="A83" s="131"/>
      <c r="B83" s="151" t="s">
        <v>134</v>
      </c>
      <c r="C83" s="198">
        <v>0</v>
      </c>
      <c r="D83" s="198">
        <f>GETPIVOTDATA("Сумма по полю Сумма задолженности на начало года",'[1]СВОД с расшиф'!$A$5,"Округ","ЮФО","Наименование территории","Г.СЕВАСТОПОЛЬ")</f>
        <v>0</v>
      </c>
      <c r="E83" s="152">
        <f t="shared" si="35"/>
        <v>4324.2</v>
      </c>
      <c r="F83" s="198">
        <f>GETPIVOTDATA("Сумма по полю Сумма задолженности на начало года повторно выставленные",'[1]СВОД с расшиф'!$A$5,"Округ","ЮФО","Наименование территории","Г.СЕВАСТОПОЛЬ")</f>
        <v>0</v>
      </c>
      <c r="G83" s="199">
        <f>GETPIVOTDATA("Сумма по полю Сумма выставленного счета в отчетном периоде",'[1]СВОД с расшиф'!$A$5,"Округ","ЮФО","Наименование территории","Г.СЕВАСТОПОЛЬ")</f>
        <v>4324.2</v>
      </c>
      <c r="H83" s="198">
        <f>GETPIVOTDATA("Сумма по полю Сумма повторно выставленного счета в отчетном периоде",'[1]СВОД с расшиф'!$A$5,"Округ","ЮФО","Наименование территории","Г.СЕВАСТОПОЛЬ")</f>
        <v>0</v>
      </c>
      <c r="I83" s="198">
        <f>GETPIVOTDATA("Сумма по полю Сумма выставленного за предыдущие периоды",'[1]СВОД с расшиф'!$A$5,"Округ","ЮФО","Наименование территории","Г.СЕВАСТОПОЛЬ")</f>
        <v>0</v>
      </c>
      <c r="J83" s="152">
        <f t="shared" si="33"/>
        <v>4324.2</v>
      </c>
      <c r="K83" s="198">
        <f>GETPIVOTDATA("Сумма по полю Оплаченная сумма по задолженности на начало года",'[1]СВОД с расшиф'!$A$5,"Округ","ЮФО","Наименование территории","Г.СЕВАСТОПОЛЬ")</f>
        <v>0</v>
      </c>
      <c r="L83" s="199">
        <f>GETPIVOTDATA("Сумма по полю Оплаченная сумма по  выставленным счетам в отчетном периоде",'[1]СВОД с расшиф'!$A$5,"Округ","ЮФО","Наименование территории","Г.СЕВАСТОПОЛЬ")</f>
        <v>4324.2</v>
      </c>
      <c r="M83" s="199">
        <f>GETPIVOTDATA("Сумма по полю Оплаченная сумма за предыдущие  периоды",'[1]СВОД с расшиф'!$A$5,"Округ","ЮФО","Наименование территории","Г.СЕВАСТОПОЛЬ")</f>
        <v>0</v>
      </c>
      <c r="N83" s="200">
        <f t="shared" si="26"/>
        <v>0</v>
      </c>
      <c r="O83" s="152">
        <f t="shared" si="36"/>
        <v>0</v>
      </c>
      <c r="P83" s="198">
        <f>GETPIVOTDATA("Сумма по полю Сумма отклонения по  счетам задолженности на начало года",'[1]СВОД с расшиф'!$A$5,"Округ","ЮФО","Наименование территории","Г.СЕВАСТОПОЛЬ")</f>
        <v>0</v>
      </c>
      <c r="Q83" s="198">
        <f>GETPIVOTDATA("Сумма по полю Сумма отклонения по дешкам задолженности на начало года",'[1]СВОД с расшиф'!$A$5,"Округ","ЮФО","Наименование территории","Г.СЕВАСТОПОЛЬ")</f>
        <v>0</v>
      </c>
      <c r="R83" s="198">
        <f>GETPIVOTDATA("Сумма по полю Повтороное отклонение по дешкам задолженности на начало года",'[1]СВОД с расшиф'!$A$5,"Округ","ЮФО","Наименование территории","Г.СЕВАСТОПОЛЬ")</f>
        <v>0</v>
      </c>
      <c r="S83" s="199">
        <f>GETPIVOTDATA("Сумма по полю Сумма отклонения по  выставленным счетам в отчетном периоде",'[1]СВОД с расшиф'!$A$5,"Округ","ЮФО","Наименование территории","Г.СЕВАСТОПОЛЬ")</f>
        <v>0</v>
      </c>
      <c r="T83" s="198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территории","Г.СЕВАСТОПОЛЬ")</f>
        <v>0</v>
      </c>
      <c r="U83" s="198">
        <f>GETPIVOTDATA("Сумма по полю Повторное отклонение по дешкам отчетного периода",'[1]СВОД с расшиф'!$A$5,"Округ","ЮФО","Наименование территории","Г.СЕВАСТОПОЛЬ")</f>
        <v>0</v>
      </c>
      <c r="V83" s="198">
        <f>GETPIVOTDATA("Сумма по полю Сумма отклонения по  выставленным счетам за предыдущие периоды",'[1]СВОД с расшиф'!$A$5,"Округ","ЮФО","Наименование территории","Г.СЕВАСТОПОЛЬ")</f>
        <v>0</v>
      </c>
      <c r="W83" s="152">
        <f>GETPIVOTDATA("Сумма по полю Задолженность по счету",'[1]СВОД с расшиф'!$A$5,"Округ","ЮФО","Наименование территории","Г.СЕВАСТОПОЛЬ")</f>
        <v>0</v>
      </c>
      <c r="X83" s="152">
        <f t="shared" si="27"/>
        <v>0</v>
      </c>
      <c r="Y83" s="152">
        <f t="shared" si="28"/>
        <v>0</v>
      </c>
      <c r="Z83" s="152">
        <f t="shared" si="29"/>
        <v>0</v>
      </c>
      <c r="AA83" s="152">
        <v>34541.320000000007</v>
      </c>
      <c r="AB83" s="152">
        <f t="shared" si="30"/>
        <v>-34541.320000000007</v>
      </c>
      <c r="AC83" s="152">
        <f t="shared" si="31"/>
        <v>0</v>
      </c>
      <c r="AD83" s="152">
        <f t="shared" si="32"/>
        <v>0</v>
      </c>
    </row>
    <row r="84" spans="1:30" s="102" customFormat="1">
      <c r="A84" s="157"/>
      <c r="B84" s="158" t="s">
        <v>34</v>
      </c>
      <c r="C84" s="206">
        <v>679885.59</v>
      </c>
      <c r="D84" s="206">
        <f>GETPIVOTDATA("Сумма по полю Сумма задолженности на начало года",'[1]СВОД с расшиф'!$A$5,"Округ","ЮФО","Наименование территории","КРАСНОДАРСКИЙ КРАЙ")</f>
        <v>679885.59</v>
      </c>
      <c r="E84" s="152">
        <f t="shared" si="35"/>
        <v>960713.90999999992</v>
      </c>
      <c r="F84" s="206">
        <f>GETPIVOTDATA("Сумма по полю Сумма задолженности на начало года повторно выставленные",'[1]СВОД с расшиф'!$A$5,"Округ","ЮФО","Наименование территории","КРАСНОДАРСКИЙ КРАЙ")</f>
        <v>0</v>
      </c>
      <c r="G84" s="207">
        <f>GETPIVOTDATA("Сумма по полю Сумма выставленного счета в отчетном периоде",'[1]СВОД с расшиф'!$A$5,"Округ","ЮФО","Наименование территории","КРАСНОДАРСКИЙ КРАЙ")</f>
        <v>960713.90999999992</v>
      </c>
      <c r="H84" s="206">
        <f>GETPIVOTDATA("Сумма по полю Сумма повторно выставленного счета в отчетном периоде",'[1]СВОД с расшиф'!$A$5,"Округ","ЮФО","Наименование территории","КРАСНОДАРСКИЙ КРАЙ")</f>
        <v>0</v>
      </c>
      <c r="I84" s="206">
        <f>GETPIVOTDATA("Сумма по полю Сумма выставленного за предыдущие периоды",'[1]СВОД с расшиф'!$A$5,"Округ","ЮФО","Наименование территории","КРАСНОДАРСКИЙ КРАЙ")</f>
        <v>0</v>
      </c>
      <c r="J84" s="152">
        <f t="shared" si="33"/>
        <v>1221707.23</v>
      </c>
      <c r="K84" s="206">
        <f>GETPIVOTDATA("Сумма по полю Оплаченная сумма по задолженности на начало года",'[1]СВОД с расшиф'!$A$5,"Округ","ЮФО","Наименование территории","КРАСНОДАРСКИЙ КРАЙ")</f>
        <v>679885.59</v>
      </c>
      <c r="L84" s="207">
        <f>GETPIVOTDATA("Сумма по полю Оплаченная сумма по  выставленным счетам в отчетном периоде",'[1]СВОД с расшиф'!$A$5,"Округ","ЮФО","Наименование территории","КРАСНОДАРСКИЙ КРАЙ")</f>
        <v>541821.6399999999</v>
      </c>
      <c r="M84" s="207">
        <f>GETPIVOTDATA("Сумма по полю Оплаченная сумма за предыдущие  периоды",'[1]СВОД с расшиф'!$A$5,"Округ","ЮФО","Наименование территории","КРАСНОДАРСКИЙ КРАЙ")</f>
        <v>0</v>
      </c>
      <c r="N84" s="200">
        <f t="shared" si="26"/>
        <v>0</v>
      </c>
      <c r="O84" s="152">
        <f t="shared" si="36"/>
        <v>0</v>
      </c>
      <c r="P84" s="206">
        <f>GETPIVOTDATA("Сумма по полю Сумма отклонения по  счетам задолженности на начало года",'[1]СВОД с расшиф'!$A$5,"Округ","ЮФО","Наименование территории","КРАСНОДАРСКИЙ КРАЙ")</f>
        <v>0</v>
      </c>
      <c r="Q84" s="206">
        <f>GETPIVOTDATA("Сумма по полю Сумма отклонения по дешкам задолженности на начало года",'[1]СВОД с расшиф'!$A$5,"Округ","ЮФО","Наименование территории","КРАСНОДАРСКИЙ КРАЙ")</f>
        <v>0</v>
      </c>
      <c r="R84" s="206">
        <f>GETPIVOTDATA("Сумма по полю Повтороное отклонение по дешкам задолженности на начало года",'[1]СВОД с расшиф'!$A$5,"Округ","ЮФО","Наименование территории","КРАСНОДАРСКИЙ КРАЙ")</f>
        <v>0</v>
      </c>
      <c r="S84" s="207">
        <f>GETPIVOTDATA("Сумма по полю Сумма отклонения по  выставленным счетам в отчетном периоде",'[1]СВОД с расшиф'!$A$5,"Округ","ЮФО","Наименование территории","КРАСНОДАРСКИЙ КРАЙ")</f>
        <v>0</v>
      </c>
      <c r="T84" s="206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территории","КРАСНОДАРСКИЙ КРАЙ")</f>
        <v>0</v>
      </c>
      <c r="U84" s="206">
        <f>GETPIVOTDATA("Сумма по полю Повторное отклонение по дешкам отчетного периода",'[1]СВОД с расшиф'!$A$5,"Округ","ЮФО","Наименование территории","КРАСНОДАРСКИЙ КРАЙ")</f>
        <v>0</v>
      </c>
      <c r="V84" s="206">
        <f>GETPIVOTDATA("Сумма по полю Сумма отклонения по  выставленным счетам за предыдущие периоды",'[1]СВОД с расшиф'!$A$5,"Округ","ЮФО","Наименование территории","КРАСНОДАРСКИЙ КРАЙ")</f>
        <v>0</v>
      </c>
      <c r="W84" s="152">
        <f>GETPIVOTDATA("Сумма по полю Задолженность по счету",'[1]СВОД с расшиф'!$A$5,"Округ","ЮФО","Наименование территории","КРАСНОДАРСКИЙ КРАЙ")</f>
        <v>418892.26999999996</v>
      </c>
      <c r="X84" s="152">
        <f t="shared" si="27"/>
        <v>418892.27</v>
      </c>
      <c r="Y84" s="152">
        <f t="shared" si="28"/>
        <v>0</v>
      </c>
      <c r="Z84" s="152">
        <f t="shared" si="29"/>
        <v>418892.27</v>
      </c>
      <c r="AA84" s="152">
        <v>662814.05000000005</v>
      </c>
      <c r="AB84" s="152">
        <f t="shared" si="30"/>
        <v>-243921.78000000003</v>
      </c>
      <c r="AC84" s="152">
        <f t="shared" si="31"/>
        <v>418892.27000000014</v>
      </c>
      <c r="AD84" s="152">
        <f t="shared" si="32"/>
        <v>0</v>
      </c>
    </row>
    <row r="85" spans="1:30">
      <c r="A85" s="131"/>
      <c r="B85" s="151" t="s">
        <v>35</v>
      </c>
      <c r="C85" s="198">
        <v>12428.2</v>
      </c>
      <c r="D85" s="198">
        <f>GETPIVOTDATA("Сумма по полю Сумма задолженности на начало года",'[1]СВОД с расшиф'!$A$5,"Округ","ЮФО","Наименование территории","РЕСПУБЛИКА АДЫГЕЯ(АДЫГЕЯ)")</f>
        <v>12428.2</v>
      </c>
      <c r="E85" s="152">
        <f t="shared" si="35"/>
        <v>11132.470000000001</v>
      </c>
      <c r="F85" s="198">
        <f>GETPIVOTDATA("Сумма по полю Сумма задолженности на начало года повторно выставленные",'[1]СВОД с расшиф'!$A$5,"Округ","ЮФО","Наименование территории","РЕСПУБЛИКА АДЫГЕЯ(АДЫГЕЯ)")</f>
        <v>0</v>
      </c>
      <c r="G85" s="199">
        <f>GETPIVOTDATA("Сумма по полю Сумма выставленного счета в отчетном периоде",'[1]СВОД с расшиф'!$A$5,"Округ","ЮФО","Наименование территории","РЕСПУБЛИКА АДЫГЕЯ(АДЫГЕЯ)")</f>
        <v>11132.470000000001</v>
      </c>
      <c r="H85" s="198">
        <f>GETPIVOTDATA("Сумма по полю Сумма повторно выставленного счета в отчетном периоде",'[1]СВОД с расшиф'!$A$5,"Округ","ЮФО","Наименование территории","РЕСПУБЛИКА АДЫГЕЯ(АДЫГЕЯ)")</f>
        <v>0</v>
      </c>
      <c r="I85" s="198">
        <f>GETPIVOTDATA("Сумма по полю Сумма выставленного за предыдущие периоды",'[1]СВОД с расшиф'!$A$5,"Округ","ЮФО","Наименование территории","РЕСПУБЛИКА АДЫГЕЯ(АДЫГЕЯ)")</f>
        <v>0</v>
      </c>
      <c r="J85" s="152">
        <f t="shared" si="33"/>
        <v>13776.230000000001</v>
      </c>
      <c r="K85" s="198">
        <f>GETPIVOTDATA("Сумма по полю Оплаченная сумма по задолженности на начало года",'[1]СВОД с расшиф'!$A$5,"Округ","ЮФО","Наименование территории","РЕСПУБЛИКА АДЫГЕЯ(АДЫГЕЯ)")</f>
        <v>12428.2</v>
      </c>
      <c r="L85" s="199">
        <f>GETPIVOTDATA("Сумма по полю Оплаченная сумма по  выставленным счетам в отчетном периоде",'[1]СВОД с расшиф'!$A$5,"Округ","ЮФО","Наименование территории","РЕСПУБЛИКА АДЫГЕЯ(АДЫГЕЯ)")</f>
        <v>1348.03</v>
      </c>
      <c r="M85" s="199">
        <f>GETPIVOTDATA("Сумма по полю Оплаченная сумма за предыдущие  периоды",'[1]СВОД с расшиф'!$A$5,"Округ","ЮФО","Наименование территории","РЕСПУБЛИКА АДЫГЕЯ(АДЫГЕЯ)")</f>
        <v>0</v>
      </c>
      <c r="N85" s="200">
        <f t="shared" si="26"/>
        <v>0</v>
      </c>
      <c r="O85" s="152">
        <f t="shared" si="36"/>
        <v>0</v>
      </c>
      <c r="P85" s="198">
        <f>GETPIVOTDATA("Сумма по полю Сумма отклонения по  счетам задолженности на начало года",'[1]СВОД с расшиф'!$A$5,"Округ","ЮФО","Наименование территории","РЕСПУБЛИКА АДЫГЕЯ(АДЫГЕЯ)")</f>
        <v>0</v>
      </c>
      <c r="Q85" s="198">
        <f>GETPIVOTDATA("Сумма по полю Сумма отклонения по дешкам задолженности на начало года",'[1]СВОД с расшиф'!$A$5,"Округ","ЮФО","Наименование территории","РЕСПУБЛИКА АДЫГЕЯ(АДЫГЕЯ)")</f>
        <v>0</v>
      </c>
      <c r="R85" s="198">
        <f>GETPIVOTDATA("Сумма по полю Повтороное отклонение по дешкам задолженности на начало года",'[1]СВОД с расшиф'!$A$5,"Округ","ЮФО","Наименование территории","РЕСПУБЛИКА АДЫГЕЯ(АДЫГЕЯ)")</f>
        <v>0</v>
      </c>
      <c r="S85" s="199">
        <f>GETPIVOTDATA("Сумма по полю Сумма отклонения по  выставленным счетам в отчетном периоде",'[1]СВОД с расшиф'!$A$5,"Округ","ЮФО","Наименование территории","РЕСПУБЛИКА АДЫГЕЯ(АДЫГЕЯ)")</f>
        <v>0</v>
      </c>
      <c r="T85" s="198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территории","РЕСПУБЛИКА АДЫГЕЯ(АДЫГЕЯ)")</f>
        <v>0</v>
      </c>
      <c r="U85" s="198">
        <f>GETPIVOTDATA("Сумма по полю Повторное отклонение по дешкам отчетного периода",'[1]СВОД с расшиф'!$A$5,"Округ","ЮФО","Наименование территории","РЕСПУБЛИКА АДЫГЕЯ(АДЫГЕЯ)")</f>
        <v>0</v>
      </c>
      <c r="V85" s="198">
        <f>GETPIVOTDATA("Сумма по полю Сумма отклонения по  выставленным счетам за предыдущие периоды",'[1]СВОД с расшиф'!$A$5,"Округ","ЮФО","Наименование территории","РЕСПУБЛИКА АДЫГЕЯ(АДЫГЕЯ)")</f>
        <v>0</v>
      </c>
      <c r="W85" s="152">
        <f>GETPIVOTDATA("Сумма по полю Задолженность по счету",'[1]СВОД с расшиф'!$A$5,"Округ","ЮФО","Наименование территории","РЕСПУБЛИКА АДЫГЕЯ(АДЫГЕЯ)")</f>
        <v>9784.44</v>
      </c>
      <c r="X85" s="152">
        <f t="shared" si="27"/>
        <v>9784.44</v>
      </c>
      <c r="Y85" s="152">
        <f t="shared" si="28"/>
        <v>0</v>
      </c>
      <c r="Z85" s="152">
        <f t="shared" si="29"/>
        <v>9784.44</v>
      </c>
      <c r="AA85" s="152">
        <v>4851.8999999999978</v>
      </c>
      <c r="AB85" s="152">
        <f t="shared" si="30"/>
        <v>4932.5400000000027</v>
      </c>
      <c r="AC85" s="152">
        <f t="shared" si="31"/>
        <v>9784.44</v>
      </c>
      <c r="AD85" s="152">
        <f t="shared" si="32"/>
        <v>0</v>
      </c>
    </row>
    <row r="86" spans="1:30">
      <c r="A86" s="131"/>
      <c r="B86" s="151" t="s">
        <v>36</v>
      </c>
      <c r="C86" s="198">
        <v>5025.8500000000004</v>
      </c>
      <c r="D86" s="198">
        <f>GETPIVOTDATA("Сумма по полю Сумма задолженности на начало года",'[1]СВОД с расшиф'!$A$5,"Округ","ЮФО","Наименование территории","РЕСПУБЛИКА КАЛМЫКИЯ")</f>
        <v>5025.8500000000004</v>
      </c>
      <c r="E86" s="152">
        <f t="shared" si="35"/>
        <v>0</v>
      </c>
      <c r="F86" s="198">
        <f>GETPIVOTDATA("Сумма по полю Сумма задолженности на начало года повторно выставленные",'[1]СВОД с расшиф'!$A$5,"Округ","ЮФО","Наименование территории","РЕСПУБЛИКА КАЛМЫКИЯ")</f>
        <v>0</v>
      </c>
      <c r="G86" s="199">
        <f>GETPIVOTDATA("Сумма по полю Сумма выставленного счета в отчетном периоде",'[1]СВОД с расшиф'!$A$5,"Округ","ЮФО","Наименование территории","РЕСПУБЛИКА КАЛМЫКИЯ")</f>
        <v>0</v>
      </c>
      <c r="H86" s="198">
        <f>GETPIVOTDATA("Сумма по полю Сумма повторно выставленного счета в отчетном периоде",'[1]СВОД с расшиф'!$A$5,"Округ","ЮФО","Наименование территории","РЕСПУБЛИКА КАЛМЫКИЯ")</f>
        <v>0</v>
      </c>
      <c r="I86" s="198">
        <f>GETPIVOTDATA("Сумма по полю Сумма выставленного за предыдущие периоды",'[1]СВОД с расшиф'!$A$5,"Округ","ЮФО","Наименование территории","РЕСПУБЛИКА КАЛМЫКИЯ")</f>
        <v>0</v>
      </c>
      <c r="J86" s="152">
        <f t="shared" si="33"/>
        <v>5025.8500000000004</v>
      </c>
      <c r="K86" s="198">
        <f>GETPIVOTDATA("Сумма по полю Оплаченная сумма по задолженности на начало года",'[1]СВОД с расшиф'!$A$5,"Округ","ЮФО","Наименование территории","РЕСПУБЛИКА КАЛМЫКИЯ")</f>
        <v>5025.8500000000004</v>
      </c>
      <c r="L86" s="199">
        <f>GETPIVOTDATA("Сумма по полю Оплаченная сумма по  выставленным счетам в отчетном периоде",'[1]СВОД с расшиф'!$A$5,"Округ","ЮФО","Наименование территории","РЕСПУБЛИКА КАЛМЫКИЯ")</f>
        <v>0</v>
      </c>
      <c r="M86" s="199">
        <f>GETPIVOTDATA("Сумма по полю Оплаченная сумма за предыдущие  периоды",'[1]СВОД с расшиф'!$A$5,"Округ","ЮФО","Наименование территории","РЕСПУБЛИКА КАЛМЫКИЯ")</f>
        <v>0</v>
      </c>
      <c r="N86" s="200">
        <f t="shared" si="26"/>
        <v>0</v>
      </c>
      <c r="O86" s="152">
        <f t="shared" si="36"/>
        <v>0</v>
      </c>
      <c r="P86" s="198">
        <f>GETPIVOTDATA("Сумма по полю Сумма отклонения по  счетам задолженности на начало года",'[1]СВОД с расшиф'!$A$5,"Округ","ЮФО","Наименование территории","РЕСПУБЛИКА КАЛМЫКИЯ")</f>
        <v>0</v>
      </c>
      <c r="Q86" s="198">
        <f>GETPIVOTDATA("Сумма по полю Сумма отклонения по дешкам задолженности на начало года",'[1]СВОД с расшиф'!$A$5,"Округ","ЮФО","Наименование территории","РЕСПУБЛИКА КАЛМЫКИЯ")</f>
        <v>0</v>
      </c>
      <c r="R86" s="198">
        <f>GETPIVOTDATA("Сумма по полю Повтороное отклонение по дешкам задолженности на начало года",'[1]СВОД с расшиф'!$A$5,"Округ","ЮФО","Наименование территории","РЕСПУБЛИКА КАЛМЫКИЯ")</f>
        <v>0</v>
      </c>
      <c r="S86" s="199">
        <f>GETPIVOTDATA("Сумма по полю Сумма отклонения по  выставленным счетам в отчетном периоде",'[1]СВОД с расшиф'!$A$5,"Округ","ЮФО","Наименование территории","РЕСПУБЛИКА КАЛМЫКИЯ")</f>
        <v>0</v>
      </c>
      <c r="T86" s="198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территории","РЕСПУБЛИКА КАЛМЫКИЯ")</f>
        <v>0</v>
      </c>
      <c r="U86" s="198">
        <f>GETPIVOTDATA("Сумма по полю Повторное отклонение по дешкам отчетного периода",'[1]СВОД с расшиф'!$A$5,"Округ","ЮФО","Наименование территории","РЕСПУБЛИКА КАЛМЫКИЯ")</f>
        <v>0</v>
      </c>
      <c r="V86" s="198">
        <f>GETPIVOTDATA("Сумма по полю Сумма отклонения по  выставленным счетам за предыдущие периоды",'[1]СВОД с расшиф'!$A$5,"Округ","ЮФО","Наименование территории","РЕСПУБЛИКА КАЛМЫКИЯ")</f>
        <v>0</v>
      </c>
      <c r="W86" s="152">
        <f>GETPIVOTDATA("Сумма по полю Задолженность по счету",'[1]СВОД с расшиф'!$A$5,"Округ","ЮФО","Наименование территории","РЕСПУБЛИКА КАЛМЫКИЯ")</f>
        <v>0</v>
      </c>
      <c r="X86" s="152">
        <f t="shared" si="27"/>
        <v>0</v>
      </c>
      <c r="Y86" s="152">
        <f t="shared" si="28"/>
        <v>0</v>
      </c>
      <c r="Z86" s="152">
        <f t="shared" si="29"/>
        <v>0</v>
      </c>
      <c r="AA86" s="152">
        <v>233.01000000000067</v>
      </c>
      <c r="AB86" s="152">
        <f t="shared" si="30"/>
        <v>-233.01000000000067</v>
      </c>
      <c r="AC86" s="152">
        <f t="shared" si="31"/>
        <v>0</v>
      </c>
      <c r="AD86" s="152">
        <f t="shared" si="32"/>
        <v>0</v>
      </c>
    </row>
    <row r="87" spans="1:30">
      <c r="A87" s="131"/>
      <c r="B87" s="151" t="s">
        <v>102</v>
      </c>
      <c r="C87" s="198">
        <v>235587.37</v>
      </c>
      <c r="D87" s="198">
        <f>GETPIVOTDATA("Сумма по полю Сумма задолженности на начало года",'[1]СВОД с расшиф'!$A$5,"Округ","ЮФО","Наименование территории","РЕСПУБЛИКА КРЫМ")</f>
        <v>235587.37</v>
      </c>
      <c r="E87" s="152">
        <f t="shared" si="35"/>
        <v>179631.97999999998</v>
      </c>
      <c r="F87" s="198">
        <f>GETPIVOTDATA("Сумма по полю Сумма задолженности на начало года повторно выставленные",'[1]СВОД с расшиф'!$A$5,"Округ","ЮФО","Наименование территории","РЕСПУБЛИКА КРЫМ")</f>
        <v>0</v>
      </c>
      <c r="G87" s="199">
        <f>GETPIVOTDATA("Сумма по полю Сумма выставленного счета в отчетном периоде",'[1]СВОД с расшиф'!$A$5,"Округ","ЮФО","Наименование территории","РЕСПУБЛИКА КРЫМ")</f>
        <v>179631.97999999998</v>
      </c>
      <c r="H87" s="198">
        <f>GETPIVOTDATA("Сумма по полю Сумма повторно выставленного счета в отчетном периоде",'[1]СВОД с расшиф'!$A$5,"Округ","ЮФО","Наименование территории","РЕСПУБЛИКА КРЫМ")</f>
        <v>0</v>
      </c>
      <c r="I87" s="198">
        <f>GETPIVOTDATA("Сумма по полю Сумма выставленного за предыдущие периоды",'[1]СВОД с расшиф'!$A$5,"Округ","ЮФО","Наименование территории","РЕСПУБЛИКА КРЫМ")</f>
        <v>0</v>
      </c>
      <c r="J87" s="152">
        <f t="shared" si="33"/>
        <v>415219.35</v>
      </c>
      <c r="K87" s="198">
        <f>GETPIVOTDATA("Сумма по полю Оплаченная сумма по задолженности на начало года",'[1]СВОД с расшиф'!$A$5,"Округ","ЮФО","Наименование территории","РЕСПУБЛИКА КРЫМ")</f>
        <v>235587.37</v>
      </c>
      <c r="L87" s="199">
        <f>GETPIVOTDATA("Сумма по полю Оплаченная сумма по  выставленным счетам в отчетном периоде",'[1]СВОД с расшиф'!$A$5,"Округ","ЮФО","Наименование территории","РЕСПУБЛИКА КРЫМ")</f>
        <v>179631.97999999998</v>
      </c>
      <c r="M87" s="199">
        <f>GETPIVOTDATA("Сумма по полю Оплаченная сумма за предыдущие  периоды",'[1]СВОД с расшиф'!$A$5,"Округ","ЮФО","Наименование территории","РЕСПУБЛИКА КРЫМ")</f>
        <v>0</v>
      </c>
      <c r="N87" s="200">
        <f t="shared" si="26"/>
        <v>0</v>
      </c>
      <c r="O87" s="152">
        <f t="shared" si="36"/>
        <v>0</v>
      </c>
      <c r="P87" s="198">
        <f>GETPIVOTDATA("Сумма по полю Сумма отклонения по  счетам задолженности на начало года",'[1]СВОД с расшиф'!$A$5,"Округ","ЮФО","Наименование территории","РЕСПУБЛИКА КРЫМ")</f>
        <v>0</v>
      </c>
      <c r="Q87" s="198">
        <f>GETPIVOTDATA("Сумма по полю Сумма отклонения по дешкам задолженности на начало года",'[1]СВОД с расшиф'!$A$5,"Округ","ЮФО","Наименование территории","РЕСПУБЛИКА КРЫМ")</f>
        <v>0</v>
      </c>
      <c r="R87" s="198">
        <f>GETPIVOTDATA("Сумма по полю Повтороное отклонение по дешкам задолженности на начало года",'[1]СВОД с расшиф'!$A$5,"Округ","ЮФО","Наименование территории","РЕСПУБЛИКА КРЫМ")</f>
        <v>0</v>
      </c>
      <c r="S87" s="199">
        <f>GETPIVOTDATA("Сумма по полю Сумма отклонения по  выставленным счетам в отчетном периоде",'[1]СВОД с расшиф'!$A$5,"Округ","ЮФО","Наименование территории","РЕСПУБЛИКА КРЫМ")</f>
        <v>0</v>
      </c>
      <c r="T87" s="198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территории","РЕСПУБЛИКА КРЫМ")</f>
        <v>0</v>
      </c>
      <c r="U87" s="198">
        <f>GETPIVOTDATA("Сумма по полю Повторное отклонение по дешкам отчетного периода",'[1]СВОД с расшиф'!$A$5,"Округ","ЮФО","Наименование территории","РЕСПУБЛИКА КРЫМ")</f>
        <v>0</v>
      </c>
      <c r="V87" s="198">
        <f>GETPIVOTDATA("Сумма по полю Сумма отклонения по  выставленным счетам за предыдущие периоды",'[1]СВОД с расшиф'!$A$5,"Округ","ЮФО","Наименование территории","РЕСПУБЛИКА КРЫМ")</f>
        <v>0</v>
      </c>
      <c r="W87" s="152">
        <f>GETPIVOTDATA("Сумма по полю Задолженность по счету",'[1]СВОД с расшиф'!$A$5,"Округ","ЮФО","Наименование территории","РЕСПУБЛИКА КРЫМ")</f>
        <v>0</v>
      </c>
      <c r="X87" s="152">
        <f t="shared" si="27"/>
        <v>0</v>
      </c>
      <c r="Y87" s="152">
        <f t="shared" si="28"/>
        <v>0</v>
      </c>
      <c r="Z87" s="152">
        <f t="shared" si="29"/>
        <v>0</v>
      </c>
      <c r="AA87" s="152">
        <v>416729.94000000018</v>
      </c>
      <c r="AB87" s="152">
        <f t="shared" si="30"/>
        <v>-416729.94000000018</v>
      </c>
      <c r="AC87" s="152">
        <f t="shared" si="31"/>
        <v>0</v>
      </c>
      <c r="AD87" s="152">
        <f t="shared" si="32"/>
        <v>0</v>
      </c>
    </row>
    <row r="88" spans="1:30">
      <c r="A88" s="131"/>
      <c r="B88" s="151" t="s">
        <v>37</v>
      </c>
      <c r="C88" s="198">
        <v>0</v>
      </c>
      <c r="D88" s="198">
        <f>GETPIVOTDATA("Сумма по полю Сумма задолженности на начало года",'[1]СВОД с расшиф'!$A$5,"Округ","ЮФО","Наименование территории","РОСТОВСКАЯ ОБЛАСТЬ")</f>
        <v>0</v>
      </c>
      <c r="E88" s="152">
        <f t="shared" si="35"/>
        <v>640043.19000000006</v>
      </c>
      <c r="F88" s="198">
        <f>GETPIVOTDATA("Сумма по полю Сумма задолженности на начало года повторно выставленные",'[1]СВОД с расшиф'!$A$5,"Округ","ЮФО","Наименование территории","РОСТОВСКАЯ ОБЛАСТЬ")</f>
        <v>0</v>
      </c>
      <c r="G88" s="199">
        <f>GETPIVOTDATA("Сумма по полю Сумма выставленного счета в отчетном периоде",'[1]СВОД с расшиф'!$A$5,"Округ","ЮФО","Наименование территории","РОСТОВСКАЯ ОБЛАСТЬ")</f>
        <v>640043.19000000006</v>
      </c>
      <c r="H88" s="198">
        <f>GETPIVOTDATA("Сумма по полю Сумма повторно выставленного счета в отчетном периоде",'[1]СВОД с расшиф'!$A$5,"Округ","ЮФО","Наименование территории","РОСТОВСКАЯ ОБЛАСТЬ")</f>
        <v>0</v>
      </c>
      <c r="I88" s="198">
        <f>GETPIVOTDATA("Сумма по полю Сумма выставленного за предыдущие периоды",'[1]СВОД с расшиф'!$A$5,"Округ","ЮФО","Наименование территории","РОСТОВСКАЯ ОБЛАСТЬ")</f>
        <v>0</v>
      </c>
      <c r="J88" s="152">
        <f t="shared" si="33"/>
        <v>75433.27</v>
      </c>
      <c r="K88" s="198">
        <f>GETPIVOTDATA("Сумма по полю Оплаченная сумма по задолженности на начало года",'[1]СВОД с расшиф'!$A$5,"Округ","ЮФО","Наименование территории","РОСТОВСКАЯ ОБЛАСТЬ")</f>
        <v>0</v>
      </c>
      <c r="L88" s="199">
        <f>GETPIVOTDATA("Сумма по полю Оплаченная сумма по  выставленным счетам в отчетном периоде",'[1]СВОД с расшиф'!$A$5,"Округ","ЮФО","Наименование территории","РОСТОВСКАЯ ОБЛАСТЬ")</f>
        <v>75433.27</v>
      </c>
      <c r="M88" s="199">
        <f>GETPIVOTDATA("Сумма по полю Оплаченная сумма за предыдущие  периоды",'[1]СВОД с расшиф'!$A$5,"Округ","ЮФО","Наименование территории","РОСТОВСКАЯ ОБЛАСТЬ")</f>
        <v>0</v>
      </c>
      <c r="N88" s="200">
        <f t="shared" si="26"/>
        <v>0</v>
      </c>
      <c r="O88" s="152">
        <f t="shared" si="36"/>
        <v>0</v>
      </c>
      <c r="P88" s="198">
        <f>GETPIVOTDATA("Сумма по полю Сумма отклонения по  счетам задолженности на начало года",'[1]СВОД с расшиф'!$A$5,"Округ","ЮФО","Наименование территории","РОСТОВСКАЯ ОБЛАСТЬ")</f>
        <v>0</v>
      </c>
      <c r="Q88" s="198">
        <f>GETPIVOTDATA("Сумма по полю Сумма отклонения по дешкам задолженности на начало года",'[1]СВОД с расшиф'!$A$5,"Округ","ЮФО","Наименование территории","РОСТОВСКАЯ ОБЛАСТЬ")</f>
        <v>0</v>
      </c>
      <c r="R88" s="198">
        <f>GETPIVOTDATA("Сумма по полю Повтороное отклонение по дешкам задолженности на начало года",'[1]СВОД с расшиф'!$A$5,"Округ","ЮФО","Наименование территории","РОСТОВСКАЯ ОБЛАСТЬ")</f>
        <v>0</v>
      </c>
      <c r="S88" s="199">
        <f>GETPIVOTDATA("Сумма по полю Сумма отклонения по  выставленным счетам в отчетном периоде",'[1]СВОД с расшиф'!$A$5,"Округ","ЮФО","Наименование территории","РОСТОВСКАЯ ОБЛАСТЬ")</f>
        <v>0</v>
      </c>
      <c r="T88" s="198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территории","РОСТОВСКАЯ ОБЛАСТЬ")</f>
        <v>0</v>
      </c>
      <c r="U88" s="198">
        <f>GETPIVOTDATA("Сумма по полю Повторное отклонение по дешкам отчетного периода",'[1]СВОД с расшиф'!$A$5,"Округ","ЮФО","Наименование территории","РОСТОВСКАЯ ОБЛАСТЬ")</f>
        <v>0</v>
      </c>
      <c r="V88" s="198">
        <f>GETPIVOTDATA("Сумма по полю Сумма отклонения по  выставленным счетам за предыдущие периоды",'[1]СВОД с расшиф'!$A$5,"Округ","ЮФО","Наименование территории","РОСТОВСКАЯ ОБЛАСТЬ")</f>
        <v>0</v>
      </c>
      <c r="W88" s="152">
        <f>GETPIVOTDATA("Сумма по полю Задолженность по счету",'[1]СВОД с расшиф'!$A$5,"Округ","ЮФО","Наименование территории","РОСТОВСКАЯ ОБЛАСТЬ")</f>
        <v>564609.92000000004</v>
      </c>
      <c r="X88" s="152">
        <f t="shared" si="27"/>
        <v>564609.92000000004</v>
      </c>
      <c r="Y88" s="152">
        <f t="shared" si="28"/>
        <v>0</v>
      </c>
      <c r="Z88" s="152">
        <f t="shared" si="29"/>
        <v>564609.92000000004</v>
      </c>
      <c r="AA88" s="152">
        <v>274972.37</v>
      </c>
      <c r="AB88" s="152">
        <f t="shared" si="30"/>
        <v>289637.55000000005</v>
      </c>
      <c r="AC88" s="152">
        <f t="shared" si="31"/>
        <v>564609.92000000004</v>
      </c>
      <c r="AD88" s="152">
        <f t="shared" si="32"/>
        <v>0</v>
      </c>
    </row>
    <row r="89" spans="1:30" ht="27.75" customHeight="1">
      <c r="A89" s="131"/>
      <c r="B89" s="151" t="s">
        <v>155</v>
      </c>
      <c r="C89" s="198">
        <v>164562.80000000002</v>
      </c>
      <c r="D89" s="198">
        <f>GETPIVOTDATA("Сумма по полю Сумма задолженности на начало года",'[1]СВОД с расшиф'!$A$5,"Округ","ЮФО","Наименование территории","ДОНЕЦКАЯ НАРОДНАЯ РЕСПУБЛИКА")</f>
        <v>164562.80000000002</v>
      </c>
      <c r="E89" s="152">
        <f t="shared" si="35"/>
        <v>176586.8</v>
      </c>
      <c r="F89" s="198">
        <f>GETPIVOTDATA("Сумма по полю Сумма задолженности на начало года повторно выставленные",'[1]СВОД с расшиф'!$A$5,"Округ","ЮФО","Наименование территории","ДОНЕЦКАЯ НАРОДНАЯ РЕСПУБЛИКА")</f>
        <v>0</v>
      </c>
      <c r="G89" s="199">
        <f>GETPIVOTDATA("Сумма по полю Сумма выставленного счета в отчетном периоде",'[1]СВОД с расшиф'!$A$5,"Округ","ЮФО","Наименование территории","ДОНЕЦКАЯ НАРОДНАЯ РЕСПУБЛИКА")</f>
        <v>176586.8</v>
      </c>
      <c r="H89" s="198">
        <f>GETPIVOTDATA("Сумма по полю Сумма повторно выставленного счета в отчетном периоде",'[1]СВОД с расшиф'!$A$5,"Округ","ЮФО","Наименование территории","ДОНЕЦКАЯ НАРОДНАЯ РЕСПУБЛИКА")</f>
        <v>0</v>
      </c>
      <c r="I89" s="198">
        <f>GETPIVOTDATA("Сумма по полю Сумма выставленного за предыдущие периоды",'[1]СВОД с расшиф'!$A$5,"Округ","ЮФО","Наименование территории","ДОНЕЦКАЯ НАРОДНАЯ РЕСПУБЛИКА")</f>
        <v>0</v>
      </c>
      <c r="J89" s="152">
        <f t="shared" si="33"/>
        <v>341149.6</v>
      </c>
      <c r="K89" s="198">
        <f>GETPIVOTDATA("Сумма по полю Оплаченная сумма по задолженности на начало года",'[1]СВОД с расшиф'!$A$5,"Округ","ЮФО","Наименование территории","ДОНЕЦКАЯ НАРОДНАЯ РЕСПУБЛИКА")</f>
        <v>164562.80000000002</v>
      </c>
      <c r="L89" s="199">
        <f>GETPIVOTDATA("Сумма по полю Оплаченная сумма по  выставленным счетам в отчетном периоде",'[1]СВОД с расшиф'!$A$5,"Округ","ЮФО","Наименование территории","ДОНЕЦКАЯ НАРОДНАЯ РЕСПУБЛИКА")</f>
        <v>176586.8</v>
      </c>
      <c r="M89" s="199">
        <f>GETPIVOTDATA("Сумма по полю Оплаченная сумма за предыдущие  периоды",'[1]СВОД с расшиф'!$A$5,"Округ","ЮФО","Наименование территории","ДОНЕЦКАЯ НАРОДНАЯ РЕСПУБЛИКА")</f>
        <v>0</v>
      </c>
      <c r="N89" s="208">
        <f t="shared" si="26"/>
        <v>0</v>
      </c>
      <c r="O89" s="152">
        <f t="shared" si="36"/>
        <v>0</v>
      </c>
      <c r="P89" s="198">
        <f>GETPIVOTDATA("Сумма по полю Сумма отклонения по  счетам задолженности на начало года",'[1]СВОД с расшиф'!$A$5,"Округ","ЮФО","Наименование территории","ДОНЕЦКАЯ НАРОДНАЯ РЕСПУБЛИКА")</f>
        <v>0</v>
      </c>
      <c r="Q89" s="198">
        <f>GETPIVOTDATA("Сумма по полю Сумма отклонения по дешкам задолженности на начало года",'[1]СВОД с расшиф'!$A$5,"Округ","ЮФО","Наименование территории","ДОНЕЦКАЯ НАРОДНАЯ РЕСПУБЛИКА")</f>
        <v>0</v>
      </c>
      <c r="R89" s="198">
        <f>GETPIVOTDATA("Сумма по полю Повтороное отклонение по дешкам задолженности на начало года",'[1]СВОД с расшиф'!$A$5,"Округ","ЮФО","Наименование территории","ДОНЕЦКАЯ НАРОДНАЯ РЕСПУБЛИКА")</f>
        <v>0</v>
      </c>
      <c r="S89" s="199">
        <f>GETPIVOTDATA("Сумма по полю Сумма отклонения по  выставленным счетам в отчетном периоде",'[1]СВОД с расшиф'!$A$5,"Округ","ЮФО","Наименование территории","ДОНЕЦКАЯ НАРОДНАЯ РЕСПУБЛИКА")</f>
        <v>0</v>
      </c>
      <c r="T89" s="198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территории","ДОНЕЦКАЯ НАРОДНАЯ РЕСПУБЛИКА")</f>
        <v>0</v>
      </c>
      <c r="U89" s="198">
        <f>GETPIVOTDATA("Сумма по полю Повторное отклонение по дешкам отчетного периода",'[1]СВОД с расшиф'!$A$5,"Округ","ЮФО","Наименование территории","ДОНЕЦКАЯ НАРОДНАЯ РЕСПУБЛИКА")</f>
        <v>0</v>
      </c>
      <c r="V89" s="198">
        <f>GETPIVOTDATA("Сумма по полю Сумма отклонения по  выставленным счетам за предыдущие периоды",'[1]СВОД с расшиф'!$A$5,"Округ","ЮФО","Наименование территории","ДОНЕЦКАЯ НАРОДНАЯ РЕСПУБЛИКА")</f>
        <v>0</v>
      </c>
      <c r="W89" s="152">
        <f>GETPIVOTDATA("Сумма по полю Задолженность по счету",'[1]СВОД с расшиф'!$A$5,"Округ","ЮФО","Наименование территории","ДОНЕЦКАЯ НАРОДНАЯ РЕСПУБЛИКА")</f>
        <v>0</v>
      </c>
      <c r="X89" s="152">
        <f>D89+G89+I89+H89-J89-P89-S89-V89-U89-T89</f>
        <v>0</v>
      </c>
      <c r="Y89" s="152">
        <f>W89-X89</f>
        <v>0</v>
      </c>
      <c r="Z89" s="152">
        <f>D89+G89-J89-N89+M89</f>
        <v>0</v>
      </c>
      <c r="AA89" s="152">
        <v>274973.37</v>
      </c>
      <c r="AB89" s="152">
        <f>Z89-AA89</f>
        <v>-274973.37</v>
      </c>
      <c r="AC89" s="152">
        <f>D89+G89+I89-K89-L89-M89-N89</f>
        <v>-2.9103830456733704E-11</v>
      </c>
      <c r="AD89" s="152">
        <f t="shared" si="32"/>
        <v>0</v>
      </c>
    </row>
    <row r="90" spans="1:30">
      <c r="A90" s="131"/>
      <c r="B90" s="151" t="s">
        <v>157</v>
      </c>
      <c r="C90" s="198">
        <v>0</v>
      </c>
      <c r="D90" s="198">
        <f>GETPIVOTDATA("Сумма по полю Сумма задолженности на начало года",'[1]СВОД с расшиф'!$A$5,"Округ","ЮФО","Наименование территории","ЗАПОРОЖСКАЯ ОБЛАСТЬ ")</f>
        <v>0</v>
      </c>
      <c r="E90" s="152">
        <f>F90+G90+H90+I90</f>
        <v>8867.7000000000007</v>
      </c>
      <c r="F90" s="198">
        <f>GETPIVOTDATA("Сумма по полю Сумма повторно выставленного счета в отчетном периоде",'[1]СВОД с расшиф'!$A$5,"Округ","ЮФО","Наименование территории","ЗАПОРОЖСКАЯ ОБЛАСТЬ ")</f>
        <v>0</v>
      </c>
      <c r="G90" s="199">
        <f>GETPIVOTDATA("Сумма по полю Сумма выставленного счета в отчетном периоде",'[1]СВОД с расшиф'!$A$5,"Округ","ЮФО","Наименование территории","ЗАПОРОЖСКАЯ ОБЛАСТЬ ")</f>
        <v>8867.7000000000007</v>
      </c>
      <c r="H90" s="198">
        <f>GETPIVOTDATA("Сумма по полю Сумма повторно выставленного счета в отчетном периоде",'[1]СВОД с расшиф'!$A$5,"Округ","ЮФО","Наименование территории","ЗАПОРОЖСКАЯ ОБЛАСТЬ ")</f>
        <v>0</v>
      </c>
      <c r="I90" s="198">
        <f>GETPIVOTDATA("Сумма по полю Сумма выставленного за предыдущие периоды",'[1]СВОД с расшиф'!$A$5,"Округ","ЮФО","Наименование территории","ЗАПОРОЖСКАЯ ОБЛАСТЬ ")</f>
        <v>0</v>
      </c>
      <c r="J90" s="152">
        <f>K90+L90+M90</f>
        <v>0</v>
      </c>
      <c r="K90" s="198">
        <f>GETPIVOTDATA("Сумма по полю Оплаченная сумма по задолженности на начало года",'[1]СВОД с расшиф'!$A$5,"Округ","ЮФО","Наименование территории","ЗАПОРОЖСКАЯ ОБЛАСТЬ ")</f>
        <v>0</v>
      </c>
      <c r="L90" s="199">
        <f>GETPIVOTDATA("Сумма по полю Оплаченная сумма по  выставленным счетам в отчетном периоде",'[1]СВОД с расшиф'!$A$5,"Округ","ЮФО","Наименование территории","ЗАПОРОЖСКАЯ ОБЛАСТЬ ")</f>
        <v>0</v>
      </c>
      <c r="M90" s="199">
        <f>GETPIVOTDATA("Сумма по полю Оплаченная сумма за предыдущие  периоды",'[1]СВОД с расшиф'!$A$5,"Округ","ЮФО","Наименование территории","ЗАПОРОЖСКАЯ ОБЛАСТЬ ")</f>
        <v>0</v>
      </c>
      <c r="N90" s="208">
        <f>GETPIVOTDATA("Сумма по полю Сумма отклонения по  выставленным счетам в отчетном периоде",'[1]СВОД с расшиф'!$A$5,"Округ","ЮФО","Наименование территории","ЗАПОРОЖСКАЯ ОБЛАСТЬ ")</f>
        <v>0</v>
      </c>
      <c r="O90" s="152">
        <f>P90+Q90+R90+S90+T90+U90+V90</f>
        <v>0</v>
      </c>
      <c r="P90" s="198">
        <f>GETPIVOTDATA("Сумма по полю Сумма отклонения по  счетам задолженности на начало года",'[1]СВОД с расшиф'!$A$5,"Округ","ЮФО","Наименование территории","ЗАПОРОЖСКАЯ ОБЛАСТЬ ")</f>
        <v>0</v>
      </c>
      <c r="Q90" s="198">
        <f>GETPIVOTDATA("Сумма по полю Сумма отклонения по дешкам задолженности на начало года",'[1]СВОД с расшиф'!$A$5,"Округ","ЮФО","Наименование территории","ЗАПОРОЖСКАЯ ОБЛАСТЬ ")</f>
        <v>0</v>
      </c>
      <c r="R90" s="198">
        <f>GETPIVOTDATA("Сумма по полю Повтороное отклонение по дешкам задолженности на начало года",'[1]СВОД с расшиф'!$A$5,"Округ","ЮФО","Наименование территории","ЗАПОРОЖСКАЯ ОБЛАСТЬ ")</f>
        <v>0</v>
      </c>
      <c r="S90" s="199">
        <f>GETPIVOTDATA("Сумма по полю Сумма отклонения по  выставленным счетам в отчетном периоде",'[1]СВОД с расшиф'!$A$5,"Округ","ЮФО","Наименование территории","ЗАПОРОЖСКАЯ ОБЛАСТЬ ")</f>
        <v>0</v>
      </c>
      <c r="T90" s="198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территории","ЗАПОРОЖСКАЯ ОБЛАСТЬ ")</f>
        <v>0</v>
      </c>
      <c r="U90" s="198">
        <f>GETPIVOTDATA("Сумма по полю Повторное отклонение по дешкам отчетного периода",'[1]СВОД с расшиф'!$A$5,"Округ","ЮФО","Наименование территории","ЗАПОРОЖСКАЯ ОБЛАСТЬ ")</f>
        <v>0</v>
      </c>
      <c r="V90" s="198">
        <f>GETPIVOTDATA("Сумма по полю Сумма отклонения по  выставленным счетам за предыдущие периоды",'[1]СВОД с расшиф'!$A$5,"Округ","ЮФО","Наименование территории","ЗАПОРОЖСКАЯ ОБЛАСТЬ ")</f>
        <v>0</v>
      </c>
      <c r="W90" s="152">
        <f>GETPIVOTDATA("Сумма по полю Задолженность по счету",'[1]СВОД с расшиф'!$A$5,"Округ","ЮФО","Наименование территории","ЗАПОРОЖСКАЯ ОБЛАСТЬ ")</f>
        <v>8867.7000000000007</v>
      </c>
      <c r="X90" s="152">
        <f>D90+G90+I90+H90-J90-P90-S90-V90-U90-T90</f>
        <v>8867.7000000000007</v>
      </c>
      <c r="Y90" s="152">
        <f>W90-X90</f>
        <v>0</v>
      </c>
      <c r="Z90" s="152">
        <f>D90+G90-J90-N90+M90</f>
        <v>8867.7000000000007</v>
      </c>
      <c r="AA90" s="152">
        <v>274975.37</v>
      </c>
      <c r="AB90" s="152">
        <f>Z90-AA90</f>
        <v>-266107.67</v>
      </c>
      <c r="AC90" s="152">
        <f>D90+G90+I90-K90-L90-M90-N90</f>
        <v>8867.7000000000007</v>
      </c>
      <c r="AD90" s="152">
        <f>W90-Z90</f>
        <v>0</v>
      </c>
    </row>
    <row r="91" spans="1:30" ht="25.5">
      <c r="A91" s="131"/>
      <c r="B91" s="151" t="s">
        <v>156</v>
      </c>
      <c r="C91" s="198">
        <v>104392.7</v>
      </c>
      <c r="D91" s="198">
        <f>GETPIVOTDATA("Сумма по полю Сумма задолженности на начало года",'[1]СВОД с расшиф'!$A$5,"Округ","ЮФО","Наименование территории","ЛУГАНСКАЯ НАРОДНАЯ РЕСПУБЛИКА")</f>
        <v>104392.7</v>
      </c>
      <c r="E91" s="152">
        <f>F91+G91+H91+I91</f>
        <v>0</v>
      </c>
      <c r="F91" s="198">
        <f>GETPIVOTDATA("Сумма по полю Сумма задолженности на начало года повторно выставленные",'[1]СВОД с расшиф'!$A$5,"Округ","ЮФО","Наименование территории","ЛУГАНСКАЯ НАРОДНАЯ РЕСПУБЛИКА")</f>
        <v>0</v>
      </c>
      <c r="G91" s="199">
        <f>GETPIVOTDATA("Сумма по полю Сумма выставленного счета в отчетном периоде",'[1]СВОД с расшиф'!$A$5,"Округ","ЮФО","Наименование территории","ЛУГАНСКАЯ НАРОДНАЯ РЕСПУБЛИКА")</f>
        <v>0</v>
      </c>
      <c r="H91" s="198">
        <f>GETPIVOTDATA("Сумма по полю Сумма повторно выставленного счета в отчетном периоде",'[1]СВОД с расшиф'!$A$5,"Округ","ЮФО","Наименование территории","ЛУГАНСКАЯ НАРОДНАЯ РЕСПУБЛИКА")</f>
        <v>0</v>
      </c>
      <c r="I91" s="198">
        <f>GETPIVOTDATA("Сумма по полю Сумма выставленного за предыдущие периоды",'[1]СВОД с расшиф'!$A$5,"Округ","ЮФО","Наименование территории","ЛУГАНСКАЯ НАРОДНАЯ РЕСПУБЛИКА")</f>
        <v>0</v>
      </c>
      <c r="J91" s="152">
        <f t="shared" si="33"/>
        <v>104392.7</v>
      </c>
      <c r="K91" s="198">
        <f>GETPIVOTDATA("Сумма по полю Оплаченная сумма по задолженности на начало года",'[1]СВОД с расшиф'!$A$5,"Округ","ЮФО","Наименование территории","ЛУГАНСКАЯ НАРОДНАЯ РЕСПУБЛИКА")</f>
        <v>104392.7</v>
      </c>
      <c r="L91" s="199">
        <f>GETPIVOTDATA("Сумма по полю Оплаченная сумма по  выставленным счетам в отчетном периоде",'[1]СВОД с расшиф'!$A$5,"Округ","ЮФО","Наименование территории","ЛУГАНСКАЯ НАРОДНАЯ РЕСПУБЛИКА")</f>
        <v>0</v>
      </c>
      <c r="M91" s="199">
        <f>GETPIVOTDATA("Сумма по полю Оплаченная сумма за предыдущие  периоды",'[1]СВОД с расшиф'!$A$5,"Округ","ЮФО","Наименование территории","ЛУГАНСКАЯ НАРОДНАЯ РЕСПУБЛИКА")</f>
        <v>0</v>
      </c>
      <c r="N91" s="208">
        <f t="shared" si="26"/>
        <v>0</v>
      </c>
      <c r="O91" s="152">
        <f t="shared" si="36"/>
        <v>0</v>
      </c>
      <c r="P91" s="198">
        <f>GETPIVOTDATA("Сумма по полю Сумма отклонения по  счетам задолженности на начало года",'[1]СВОД с расшиф'!$A$5,"Округ","ЮФО","Наименование территории","ЛУГАНСКАЯ НАРОДНАЯ РЕСПУБЛИКА")</f>
        <v>0</v>
      </c>
      <c r="Q91" s="198">
        <f>GETPIVOTDATA("Сумма по полю Сумма отклонения по дешкам задолженности на начало года",'[1]СВОД с расшиф'!$A$5,"Округ","ЮФО","Наименование территории","ЛУГАНСКАЯ НАРОДНАЯ РЕСПУБЛИКА")</f>
        <v>0</v>
      </c>
      <c r="R91" s="198">
        <f>GETPIVOTDATA("Сумма по полю Повтороное отклонение по дешкам задолженности на начало года",'[1]СВОД с расшиф'!$A$5,"Округ","ЮФО","Наименование территории","ЛУГАНСКАЯ НАРОДНАЯ РЕСПУБЛИКА")</f>
        <v>0</v>
      </c>
      <c r="S91" s="199">
        <f>GETPIVOTDATA("Сумма по полю Сумма отклонения по  выставленным счетам в отчетном периоде",'[1]СВОД с расшиф'!$A$5,"Округ","ЮФО","Наименование территории","ЛУГАНСКАЯ НАРОДНАЯ РЕСПУБЛИКА")</f>
        <v>0</v>
      </c>
      <c r="T91" s="198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территории","ЛУГАНСКАЯ НАРОДНАЯ РЕСПУБЛИКА")</f>
        <v>0</v>
      </c>
      <c r="U91" s="198">
        <f>GETPIVOTDATA("Сумма по полю Повторное отклонение по дешкам отчетного периода",'[1]СВОД с расшиф'!$A$5,"Округ","ЮФО","Наименование территории","ЛУГАНСКАЯ НАРОДНАЯ РЕСПУБЛИКА")</f>
        <v>0</v>
      </c>
      <c r="V91" s="198">
        <f>GETPIVOTDATA("Сумма по полю Сумма отклонения по  выставленным счетам за предыдущие периоды",'[1]СВОД с расшиф'!$A$5,"Округ","ЮФО","Наименование территории","ЛУГАНСКАЯ НАРОДНАЯ РЕСПУБЛИКА")</f>
        <v>0</v>
      </c>
      <c r="W91" s="152">
        <f>GETPIVOTDATA("Сумма по полю Задолженность по счету",'[1]СВОД с расшиф'!$A$5,"Округ","ЮФО","Наименование территории","ЛУГАНСКАЯ НАРОДНАЯ РЕСПУБЛИКА")</f>
        <v>0</v>
      </c>
      <c r="X91" s="152">
        <f>D91+G91+I91+H91-J91-P91-S91-V91-U91-T91</f>
        <v>0</v>
      </c>
      <c r="Y91" s="152">
        <f>W91-X91</f>
        <v>0</v>
      </c>
      <c r="Z91" s="152">
        <f>D91+G91-J91-N91+M91</f>
        <v>0</v>
      </c>
      <c r="AA91" s="152">
        <v>274974.37</v>
      </c>
      <c r="AB91" s="152">
        <f>Z91-AA91</f>
        <v>-274974.37</v>
      </c>
      <c r="AC91" s="152">
        <f>D91+G91+I91-K91-L91-M91-N91</f>
        <v>0</v>
      </c>
      <c r="AD91" s="152">
        <f>W91-Z91</f>
        <v>0</v>
      </c>
    </row>
    <row r="92" spans="1:30">
      <c r="A92" s="131"/>
      <c r="B92" s="151" t="s">
        <v>158</v>
      </c>
      <c r="C92" s="198">
        <v>0</v>
      </c>
      <c r="D92" s="198">
        <f>GETPIVOTDATA("Сумма по полю Сумма задолженности на начало года",'[1]СВОД с расшиф'!$A$5,"Округ","ЮФО","Наименование территории","ХЕРСОНСКАЯ ОБЛАСТЬ")</f>
        <v>0</v>
      </c>
      <c r="E92" s="152">
        <f>F92+G92+H92+I92</f>
        <v>30570.199999999997</v>
      </c>
      <c r="F92" s="198">
        <f>GETPIVOTDATA("Сумма по полю Сумма задолженности на начало года повторно выставленные",'[1]СВОД с расшиф'!$A$5,"Округ","ЮФО","Наименование территории","ХЕРСОНСКАЯ ОБЛАСТЬ")</f>
        <v>0</v>
      </c>
      <c r="G92" s="199">
        <f>GETPIVOTDATA("Сумма по полю Сумма выставленного счета в отчетном периоде",'[1]СВОД с расшиф'!$A$5,"Округ","ЮФО","Наименование территории","ХЕРСОНСКАЯ ОБЛАСТЬ")</f>
        <v>30570.199999999997</v>
      </c>
      <c r="H92" s="198">
        <f>GETPIVOTDATA("Сумма по полю Сумма повторно выставленного счета в отчетном периоде",'[1]СВОД с расшиф'!$A$5,"Округ","ЮФО","Наименование территории","ХЕРСОНСКАЯ ОБЛАСТЬ")</f>
        <v>0</v>
      </c>
      <c r="I92" s="198">
        <f>GETPIVOTDATA("Сумма по полю Сумма выставленного за предыдущие периоды",'[1]СВОД с расшиф'!$A$5,"Округ","ЮФО","Наименование территории","ХЕРСОНСКАЯ ОБЛАСТЬ")</f>
        <v>0</v>
      </c>
      <c r="J92" s="152">
        <f t="shared" si="33"/>
        <v>1302.5999999999999</v>
      </c>
      <c r="K92" s="198">
        <f>GETPIVOTDATA("Сумма по полю Оплаченная сумма по задолженности на начало года",'[1]СВОД с расшиф'!$A$5,"Округ","ЮФО","Наименование территории","ХЕРСОНСКАЯ ОБЛАСТЬ")</f>
        <v>0</v>
      </c>
      <c r="L92" s="199">
        <f>GETPIVOTDATA("Сумма по полю Оплаченная сумма по  выставленным счетам в отчетном периоде",'[1]СВОД с расшиф'!$A$5,"Округ","ЮФО","Наименование территории","ХЕРСОНСКАЯ ОБЛАСТЬ")</f>
        <v>1302.5999999999999</v>
      </c>
      <c r="M92" s="199">
        <f>GETPIVOTDATA("Сумма по полю Оплаченная сумма за предыдущие  периоды",'[1]СВОД с расшиф'!$A$5,"Округ","ЮФО","Наименование территории","ХЕРСОНСКАЯ ОБЛАСТЬ")</f>
        <v>0</v>
      </c>
      <c r="N92" s="208">
        <f t="shared" si="26"/>
        <v>0</v>
      </c>
      <c r="O92" s="152">
        <f t="shared" si="36"/>
        <v>0</v>
      </c>
      <c r="P92" s="198">
        <f>GETPIVOTDATA("Сумма по полю Сумма отклонения по  счетам задолженности на начало года",'[1]СВОД с расшиф'!$A$5,"Округ","ЮФО","Наименование территории","ХЕРСОНСКАЯ ОБЛАСТЬ")</f>
        <v>0</v>
      </c>
      <c r="Q92" s="198">
        <f>GETPIVOTDATA("Сумма по полю Сумма отклонения по дешкам задолженности на начало года",'[1]СВОД с расшиф'!$A$5,"Округ","ЮФО","Наименование территории","ХЕРСОНСКАЯ ОБЛАСТЬ")</f>
        <v>0</v>
      </c>
      <c r="R92" s="198">
        <f>GETPIVOTDATA("Сумма по полю Повтороное отклонение по дешкам задолженности на начало года",'[1]СВОД с расшиф'!$A$5,"Округ","ЮФО","Наименование территории","ХЕРСОНСКАЯ ОБЛАСТЬ")</f>
        <v>0</v>
      </c>
      <c r="S92" s="199">
        <f>GETPIVOTDATA("Сумма по полю Сумма отклонения по  выставленным счетам в отчетном периоде",'[1]СВОД с расшиф'!$A$5,"Округ","ЮФО","Наименование территории","ХЕРСОНСКАЯ ОБЛАСТЬ")</f>
        <v>0</v>
      </c>
      <c r="T92" s="198">
        <f>GETPIVOTDATA("Сумма по полю Сумма отклонения по  выставленным счетам в отчетном периоде по дешкам",'[1]СВОД с расшиф'!$A$5,"Округ","ЮФО","Наименование территории","ХЕРСОНСКАЯ ОБЛАСТЬ")</f>
        <v>0</v>
      </c>
      <c r="U92" s="198">
        <f>GETPIVOTDATA("Сумма по полю Повторное отклонение по дешкам отчетного периода",'[1]СВОД с расшиф'!$A$5,"Округ","ЮФО","Наименование территории","ХЕРСОНСКАЯ ОБЛАСТЬ")</f>
        <v>0</v>
      </c>
      <c r="V92" s="198">
        <f>GETPIVOTDATA("Сумма по полю Сумма отклонения по  выставленным счетам за предыдущие периоды",'[1]СВОД с расшиф'!$A$5,"Округ","ЮФО","Наименование территории","ХЕРСОНСКАЯ ОБЛАСТЬ")</f>
        <v>0</v>
      </c>
      <c r="W92" s="152">
        <f>GETPIVOTDATA("Сумма по полю Задолженность по счету",'[1]СВОД с расшиф'!$A$5,"Округ","ЮФО","Наименование территории","ХЕРСОНСКАЯ ОБЛАСТЬ")</f>
        <v>29267.599999999999</v>
      </c>
      <c r="X92" s="152">
        <f>D92+G92+I92+H92-J92-P92-S92-V92-U92-T92</f>
        <v>29267.599999999999</v>
      </c>
      <c r="Y92" s="152">
        <f>W92-X92</f>
        <v>0</v>
      </c>
      <c r="Z92" s="152">
        <f>D92+G92-J92-N92+M92</f>
        <v>29267.599999999999</v>
      </c>
      <c r="AA92" s="152">
        <v>274976.37</v>
      </c>
      <c r="AB92" s="152">
        <f>Z92-AA92</f>
        <v>-245708.77</v>
      </c>
      <c r="AC92" s="152">
        <f>D92+G92+I92-K92-L92-M92-N92</f>
        <v>29267.599999999999</v>
      </c>
      <c r="AD92" s="152">
        <f>W92-Z92</f>
        <v>0</v>
      </c>
    </row>
    <row r="93" spans="1:30">
      <c r="A93" s="153" t="s">
        <v>135</v>
      </c>
      <c r="B93" s="154"/>
      <c r="C93" s="201">
        <f t="shared" ref="C93:AD93" si="37">SUM(C81:C92)</f>
        <v>1356304.3599999999</v>
      </c>
      <c r="D93" s="201">
        <f t="shared" si="37"/>
        <v>1356304.3599999999</v>
      </c>
      <c r="E93" s="201">
        <f t="shared" si="37"/>
        <v>2503312.3200000003</v>
      </c>
      <c r="F93" s="201">
        <f t="shared" si="37"/>
        <v>0</v>
      </c>
      <c r="G93" s="201">
        <f t="shared" si="37"/>
        <v>2503312.3200000003</v>
      </c>
      <c r="H93" s="201">
        <f t="shared" si="37"/>
        <v>0</v>
      </c>
      <c r="I93" s="201">
        <f t="shared" si="37"/>
        <v>0</v>
      </c>
      <c r="J93" s="201">
        <f t="shared" si="37"/>
        <v>2518176.2900000005</v>
      </c>
      <c r="K93" s="201">
        <f t="shared" si="37"/>
        <v>1352892.3599999999</v>
      </c>
      <c r="L93" s="201">
        <f t="shared" si="37"/>
        <v>1165283.93</v>
      </c>
      <c r="M93" s="201">
        <f t="shared" si="37"/>
        <v>0</v>
      </c>
      <c r="N93" s="201">
        <f t="shared" si="37"/>
        <v>3412</v>
      </c>
      <c r="O93" s="201">
        <f t="shared" si="37"/>
        <v>3412</v>
      </c>
      <c r="P93" s="201">
        <f t="shared" si="37"/>
        <v>3412</v>
      </c>
      <c r="Q93" s="201">
        <f t="shared" si="37"/>
        <v>0</v>
      </c>
      <c r="R93" s="201">
        <f t="shared" si="37"/>
        <v>0</v>
      </c>
      <c r="S93" s="201">
        <f t="shared" si="37"/>
        <v>0</v>
      </c>
      <c r="T93" s="201">
        <f t="shared" si="37"/>
        <v>0</v>
      </c>
      <c r="U93" s="201">
        <f t="shared" si="37"/>
        <v>0</v>
      </c>
      <c r="V93" s="201">
        <f t="shared" si="37"/>
        <v>0</v>
      </c>
      <c r="W93" s="185">
        <f t="shared" si="37"/>
        <v>1338028.3899999999</v>
      </c>
      <c r="X93" s="185">
        <f t="shared" si="37"/>
        <v>1338028.3899999999</v>
      </c>
      <c r="Y93" s="185">
        <f t="shared" si="37"/>
        <v>0</v>
      </c>
      <c r="Z93" s="185">
        <f t="shared" si="37"/>
        <v>1338028.3899999999</v>
      </c>
      <c r="AA93" s="185">
        <f t="shared" si="37"/>
        <v>3250614.3400000008</v>
      </c>
      <c r="AB93" s="185">
        <f t="shared" si="37"/>
        <v>-1912585.9500000002</v>
      </c>
      <c r="AC93" s="185">
        <f t="shared" si="37"/>
        <v>1338028.3900000001</v>
      </c>
      <c r="AD93" s="185">
        <f t="shared" si="37"/>
        <v>0</v>
      </c>
    </row>
    <row r="94" spans="1:30" ht="25.5">
      <c r="A94" s="131" t="s">
        <v>136</v>
      </c>
      <c r="B94" s="151" t="s">
        <v>39</v>
      </c>
      <c r="C94" s="198">
        <v>16007.54</v>
      </c>
      <c r="D94" s="198">
        <f>GETPIVOTDATA("Сумма по полю Сумма задолженности на начало года",'[1]СВОД с расшиф'!$A$5,"Округ","СКФО","Наименование территории","КАБАРДИНО-БАЛКАРСКАЯ РЕСПУБЛИКА")</f>
        <v>16007.54</v>
      </c>
      <c r="E94" s="152">
        <f>F94+G94+H94+I94</f>
        <v>28260.07</v>
      </c>
      <c r="F94" s="198">
        <f>GETPIVOTDATA("Сумма по полю Сумма задолженности на начало года повторно выставленные",'[1]СВОД с расшиф'!$A$5,"Округ","СКФО","Наименование территории","КАБАРДИНО-БАЛКАРСКАЯ РЕСПУБЛИКА")</f>
        <v>0</v>
      </c>
      <c r="G94" s="199">
        <f>GETPIVOTDATA("Сумма по полю Сумма выставленного счета в отчетном периоде",'[1]СВОД с расшиф'!$A$5,"Округ","СКФО","Наименование территории","КАБАРДИНО-БАЛКАРСКАЯ РЕСПУБЛИКА")</f>
        <v>28260.07</v>
      </c>
      <c r="H94" s="198">
        <f>GETPIVOTDATA("Сумма по полю Сумма повторно выставленного счета в отчетном периоде",'[1]СВОД с расшиф'!$A$5,"Округ","СКФО","Наименование территории","КАБАРДИНО-БАЛКАРСКАЯ РЕСПУБЛИКА")</f>
        <v>0</v>
      </c>
      <c r="I94" s="198">
        <f>GETPIVOTDATA("Сумма по полю Сумма выставленного за предыдущие периоды",'[1]СВОД с расшиф'!$A$5,"Округ","СКФО","Наименование территории","КАБАРДИНО-БАЛКАРСКАЯ РЕСПУБЛИКА")</f>
        <v>0</v>
      </c>
      <c r="J94" s="152">
        <f t="shared" si="33"/>
        <v>17083.740000000002</v>
      </c>
      <c r="K94" s="198">
        <f>GETPIVOTDATA("Сумма по полю Оплаченная сумма по задолженности на начало года",'[1]СВОД с расшиф'!$A$5,"Округ","СКФО","Наименование территории","КАБАРДИНО-БАЛКАРСКАЯ РЕСПУБЛИКА")</f>
        <v>16007.54</v>
      </c>
      <c r="L94" s="199">
        <f>GETPIVOTDATA("Сумма по полю Оплаченная сумма по  выставленным счетам в отчетном периоде",'[1]СВОД с расшиф'!$A$5,"Округ","СКФО","Наименование территории","КАБАРДИНО-БАЛКАРСКАЯ РЕСПУБЛИКА")</f>
        <v>1076.2</v>
      </c>
      <c r="M94" s="199">
        <f>GETPIVOTDATA("Сумма по полю Оплаченная сумма за предыдущие  периоды",'[1]СВОД с расшиф'!$A$5,"Округ","СКФО","Наименование территории","КАБАРДИНО-БАЛКАРСКАЯ РЕСПУБЛИКА")</f>
        <v>0</v>
      </c>
      <c r="N94" s="200">
        <f t="shared" si="26"/>
        <v>0</v>
      </c>
      <c r="O94" s="152">
        <f>P94+Q94+R94+S94+T94+U94+V94</f>
        <v>0</v>
      </c>
      <c r="P94" s="198">
        <f>GETPIVOTDATA("Сумма по полю Сумма отклонения по  счетам задолженности на начало года",'[1]СВОД с расшиф'!$A$5,"Округ","СКФО","Наименование территории","КАБАРДИНО-БАЛКАРСКАЯ РЕСПУБЛИКА")</f>
        <v>0</v>
      </c>
      <c r="Q94" s="198">
        <f>GETPIVOTDATA("Сумма по полю Сумма отклонения по дешкам задолженности на начало года",'[1]СВОД с расшиф'!$A$5,"Округ","СКФО","Наименование территории","КАБАРДИНО-БАЛКАРСКАЯ РЕСПУБЛИКА")</f>
        <v>0</v>
      </c>
      <c r="R94" s="198">
        <f>GETPIVOTDATA("Сумма по полю Повтороное отклонение по дешкам задолженности на начало года",'[1]СВОД с расшиф'!$A$5,"Округ","СКФО","Наименование территории","КАБАРДИНО-БАЛКАРСКАЯ РЕСПУБЛИКА")</f>
        <v>0</v>
      </c>
      <c r="S94" s="199">
        <f>GETPIVOTDATA("Сумма по полю Сумма отклонения по  выставленным счетам в отчетном периоде",'[1]СВОД с расшиф'!$A$5,"Округ","СКФО","Наименование территории","КАБАРДИНО-БАЛКАРСКАЯ РЕСПУБЛИКА")</f>
        <v>0</v>
      </c>
      <c r="T94" s="198">
        <f>GETPIVOTDATA("Сумма по полю Сумма отклонения по  выставленным счетам в отчетном периоде по дешкам",'[1]СВОД с расшиф'!$A$5,"Округ","СКФО","Наименование территории","КАБАРДИНО-БАЛКАРСКАЯ РЕСПУБЛИКА")</f>
        <v>0</v>
      </c>
      <c r="U94" s="198">
        <f>GETPIVOTDATA("Сумма по полю Повторное отклонение по дешкам отчетного периода",'[1]СВОД с расшиф'!$A$5,"Округ","СКФО","Наименование территории","КАБАРДИНО-БАЛКАРСКАЯ РЕСПУБЛИКА")</f>
        <v>0</v>
      </c>
      <c r="V94" s="198">
        <f>GETPIVOTDATA("Сумма по полю Сумма отклонения по  выставленным счетам за предыдущие периоды",'[1]СВОД с расшиф'!$A$5,"Округ","СКФО","Наименование территории","КАБАРДИНО-БАЛКАРСКАЯ РЕСПУБЛИКА")</f>
        <v>0</v>
      </c>
      <c r="W94" s="152">
        <f>GETPIVOTDATA("Сумма по полю Задолженность по счету",'[1]СВОД с расшиф'!$A$5,"Округ","СКФО","Наименование территории","КАБАРДИНО-БАЛКАРСКАЯ РЕСПУБЛИКА")</f>
        <v>27183.87</v>
      </c>
      <c r="X94" s="152">
        <f t="shared" si="27"/>
        <v>27183.87</v>
      </c>
      <c r="Y94" s="152">
        <f t="shared" si="28"/>
        <v>0</v>
      </c>
      <c r="Z94" s="152">
        <f t="shared" si="29"/>
        <v>27183.87</v>
      </c>
      <c r="AA94" s="152">
        <v>38319.599999999999</v>
      </c>
      <c r="AB94" s="152">
        <f t="shared" si="30"/>
        <v>-11135.73</v>
      </c>
      <c r="AC94" s="152">
        <f t="shared" si="31"/>
        <v>27183.87</v>
      </c>
      <c r="AD94" s="152">
        <f t="shared" si="32"/>
        <v>0</v>
      </c>
    </row>
    <row r="95" spans="1:30" ht="25.5">
      <c r="A95" s="131"/>
      <c r="B95" s="151" t="s">
        <v>40</v>
      </c>
      <c r="C95" s="198">
        <v>0</v>
      </c>
      <c r="D95" s="198">
        <f>GETPIVOTDATA("Сумма по полю Сумма задолженности на начало года",'[1]СВОД с расшиф'!$A$5,"Округ","СКФО","Наименование территории","КАРАЧАЕВО-ЧЕРКЕССКАЯ РЕСПУБЛИКА")</f>
        <v>0</v>
      </c>
      <c r="E95" s="152">
        <f t="shared" ref="E95:E100" si="38">F95+G95+H95+I95</f>
        <v>8149.32</v>
      </c>
      <c r="F95" s="198">
        <f>GETPIVOTDATA("Сумма по полю Сумма задолженности на начало года повторно выставленные",'[1]СВОД с расшиф'!$A$5,"Округ","СКФО","Наименование территории","КАРАЧАЕВО-ЧЕРКЕССКАЯ РЕСПУБЛИКА")</f>
        <v>0</v>
      </c>
      <c r="G95" s="199">
        <f>GETPIVOTDATA("Сумма по полю Сумма выставленного счета в отчетном периоде",'[1]СВОД с расшиф'!$A$5,"Округ","СКФО","Наименование территории","КАРАЧАЕВО-ЧЕРКЕССКАЯ РЕСПУБЛИКА")</f>
        <v>8149.32</v>
      </c>
      <c r="H95" s="198">
        <f>GETPIVOTDATA("Сумма по полю Сумма повторно выставленного счета в отчетном периоде",'[1]СВОД с расшиф'!$A$5,"Округ","СКФО","Наименование территории","КАРАЧАЕВО-ЧЕРКЕССКАЯ РЕСПУБЛИКА")</f>
        <v>0</v>
      </c>
      <c r="I95" s="198">
        <f>GETPIVOTDATA("Сумма по полю Сумма выставленного за предыдущие периоды",'[1]СВОД с расшиф'!$A$5,"Округ","СКФО","Наименование территории","КАРАЧАЕВО-ЧЕРКЕССКАЯ РЕСПУБЛИКА")</f>
        <v>0</v>
      </c>
      <c r="J95" s="152">
        <f t="shared" si="33"/>
        <v>1232.1600000000001</v>
      </c>
      <c r="K95" s="198">
        <f>GETPIVOTDATA("Сумма по полю Оплаченная сумма по задолженности на начало года",'[1]СВОД с расшиф'!$A$5,"Округ","СКФО","Наименование территории","КАРАЧАЕВО-ЧЕРКЕССКАЯ РЕСПУБЛИКА")</f>
        <v>0</v>
      </c>
      <c r="L95" s="199">
        <f>GETPIVOTDATA("Сумма по полю Оплаченная сумма по  выставленным счетам в отчетном периоде",'[1]СВОД с расшиф'!$A$5,"Округ","СКФО","Наименование территории","КАРАЧАЕВО-ЧЕРКЕССКАЯ РЕСПУБЛИКА")</f>
        <v>1232.1600000000001</v>
      </c>
      <c r="M95" s="199">
        <f>GETPIVOTDATA("Сумма по полю Оплаченная сумма за предыдущие  периоды",'[1]СВОД с расшиф'!$A$5,"Округ","СКФО","Наименование территории","КАРАЧАЕВО-ЧЕРКЕССКАЯ РЕСПУБЛИКА")</f>
        <v>0</v>
      </c>
      <c r="N95" s="200">
        <f t="shared" si="26"/>
        <v>0</v>
      </c>
      <c r="O95" s="152">
        <f t="shared" ref="O95:O100" si="39">P95+Q95+R95+S95+T95+U95+V95</f>
        <v>0</v>
      </c>
      <c r="P95" s="198">
        <f>GETPIVOTDATA("Сумма по полю Сумма отклонения по  счетам задолженности на начало года",'[1]СВОД с расшиф'!$A$5,"Округ","СКФО","Наименование территории","КАРАЧАЕВО-ЧЕРКЕССКАЯ РЕСПУБЛИКА")</f>
        <v>0</v>
      </c>
      <c r="Q95" s="198">
        <f>GETPIVOTDATA("Сумма по полю Сумма отклонения по дешкам задолженности на начало года",'[1]СВОД с расшиф'!$A$5,"Округ","СКФО","Наименование территории","КАРАЧАЕВО-ЧЕРКЕССКАЯ РЕСПУБЛИКА")</f>
        <v>0</v>
      </c>
      <c r="R95" s="198">
        <f>GETPIVOTDATA("Сумма по полю Повтороное отклонение по дешкам задолженности на начало года",'[1]СВОД с расшиф'!$A$5,"Округ","СКФО","Наименование территории","КАРАЧАЕВО-ЧЕРКЕССКАЯ РЕСПУБЛИКА")</f>
        <v>0</v>
      </c>
      <c r="S95" s="199">
        <f>GETPIVOTDATA("Сумма по полю Сумма отклонения по  выставленным счетам в отчетном периоде",'[1]СВОД с расшиф'!$A$5,"Округ","СКФО","Наименование территории","КАРАЧАЕВО-ЧЕРКЕССКАЯ РЕСПУБЛИКА")</f>
        <v>0</v>
      </c>
      <c r="T95" s="198">
        <f>GETPIVOTDATA("Сумма по полю Сумма отклонения по  выставленным счетам в отчетном периоде по дешкам",'[1]СВОД с расшиф'!$A$5,"Округ","СКФО","Наименование территории","КАРАЧАЕВО-ЧЕРКЕССКАЯ РЕСПУБЛИКА")</f>
        <v>0</v>
      </c>
      <c r="U95" s="198">
        <f>GETPIVOTDATA("Сумма по полю Повторное отклонение по дешкам отчетного периода",'[1]СВОД с расшиф'!$A$5,"Округ","СКФО","Наименование территории","КАРАЧАЕВО-ЧЕРКЕССКАЯ РЕСПУБЛИКА")</f>
        <v>0</v>
      </c>
      <c r="V95" s="198">
        <f>GETPIVOTDATA("Сумма по полю Сумма отклонения по  выставленным счетам за предыдущие периоды",'[1]СВОД с расшиф'!$A$5,"Округ","СКФО","Наименование территории","КАРАЧАЕВО-ЧЕРКЕССКАЯ РЕСПУБЛИКА")</f>
        <v>0</v>
      </c>
      <c r="W95" s="152">
        <f>GETPIVOTDATA("Сумма по полю Задолженность по счету",'[1]СВОД с расшиф'!$A$5,"Округ","СКФО","Наименование территории","КАРАЧАЕВО-ЧЕРКЕССКАЯ РЕСПУБЛИКА")</f>
        <v>6917.16</v>
      </c>
      <c r="X95" s="152">
        <f t="shared" si="27"/>
        <v>6917.16</v>
      </c>
      <c r="Y95" s="152">
        <f t="shared" si="28"/>
        <v>0</v>
      </c>
      <c r="Z95" s="152">
        <f t="shared" si="29"/>
        <v>6917.16</v>
      </c>
      <c r="AA95" s="152">
        <v>41275.21</v>
      </c>
      <c r="AB95" s="152">
        <f t="shared" si="30"/>
        <v>-34358.050000000003</v>
      </c>
      <c r="AC95" s="152">
        <f t="shared" si="31"/>
        <v>6917.16</v>
      </c>
      <c r="AD95" s="152">
        <f t="shared" si="32"/>
        <v>0</v>
      </c>
    </row>
    <row r="96" spans="1:30">
      <c r="A96" s="131"/>
      <c r="B96" s="151" t="s">
        <v>41</v>
      </c>
      <c r="C96" s="198">
        <v>29162.36</v>
      </c>
      <c r="D96" s="198">
        <f>GETPIVOTDATA("Сумма по полю Сумма задолженности на начало года",'[1]СВОД с расшиф'!$A$5,"Округ","СКФО","Наименование территории","РЕСПУБЛИКА ДАГЕСТАН")</f>
        <v>29162.36</v>
      </c>
      <c r="E96" s="152">
        <f t="shared" si="38"/>
        <v>7958.11</v>
      </c>
      <c r="F96" s="198">
        <f>GETPIVOTDATA("Сумма по полю Сумма задолженности на начало года повторно выставленные",'[1]СВОД с расшиф'!$A$5,"Округ","СКФО","Наименование территории","РЕСПУБЛИКА ДАГЕСТАН")</f>
        <v>0</v>
      </c>
      <c r="G96" s="199">
        <f>GETPIVOTDATA("Сумма по полю Сумма выставленного счета в отчетном периоде",'[1]СВОД с расшиф'!$A$5,"Округ","СКФО","Наименование территории","РЕСПУБЛИКА ДАГЕСТАН")</f>
        <v>7958.11</v>
      </c>
      <c r="H96" s="198">
        <f>GETPIVOTDATA("Сумма по полю Сумма повторно выставленного счета в отчетном периоде",'[1]СВОД с расшиф'!$A$5,"Округ","СКФО","Наименование территории","РЕСПУБЛИКА ДАГЕСТАН")</f>
        <v>0</v>
      </c>
      <c r="I96" s="198">
        <f>GETPIVOTDATA("Сумма по полю Сумма выставленного за предыдущие периоды",'[1]СВОД с расшиф'!$A$5,"Округ","СКФО","Наименование территории","РЕСПУБЛИКА ДАГЕСТАН")</f>
        <v>0</v>
      </c>
      <c r="J96" s="152">
        <f t="shared" si="33"/>
        <v>37120.47</v>
      </c>
      <c r="K96" s="198">
        <f>GETPIVOTDATA("Сумма по полю Оплаченная сумма по задолженности на начало года",'[1]СВОД с расшиф'!$A$5,"Округ","СКФО","Наименование территории","РЕСПУБЛИКА ДАГЕСТАН")</f>
        <v>29162.36</v>
      </c>
      <c r="L96" s="199">
        <f>GETPIVOTDATA("Сумма по полю Оплаченная сумма по  выставленным счетам в отчетном периоде",'[1]СВОД с расшиф'!$A$5,"Округ","СКФО","Наименование территории","РЕСПУБЛИКА ДАГЕСТАН")</f>
        <v>7958.11</v>
      </c>
      <c r="M96" s="199">
        <f>GETPIVOTDATA("Сумма по полю Оплаченная сумма за предыдущие  периоды",'[1]СВОД с расшиф'!$A$5,"Округ","СКФО","Наименование территории","РЕСПУБЛИКА ДАГЕСТАН")</f>
        <v>0</v>
      </c>
      <c r="N96" s="200">
        <f t="shared" si="26"/>
        <v>0</v>
      </c>
      <c r="O96" s="152">
        <f t="shared" si="39"/>
        <v>0</v>
      </c>
      <c r="P96" s="198">
        <f>GETPIVOTDATA("Сумма по полю Сумма отклонения по  счетам задолженности на начало года",'[1]СВОД с расшиф'!$A$5,"Округ","СКФО","Наименование территории","РЕСПУБЛИКА ДАГЕСТАН")</f>
        <v>0</v>
      </c>
      <c r="Q96" s="198">
        <f>GETPIVOTDATA("Сумма по полю Сумма отклонения по дешкам задолженности на начало года",'[1]СВОД с расшиф'!$A$5,"Округ","СКФО","Наименование территории","РЕСПУБЛИКА ДАГЕСТАН")</f>
        <v>0</v>
      </c>
      <c r="R96" s="198">
        <f>GETPIVOTDATA("Сумма по полю Повтороное отклонение по дешкам задолженности на начало года",'[1]СВОД с расшиф'!$A$5,"Округ","СКФО","Наименование территории","РЕСПУБЛИКА ДАГЕСТАН")</f>
        <v>0</v>
      </c>
      <c r="S96" s="199">
        <f>GETPIVOTDATA("Сумма по полю Сумма отклонения по  выставленным счетам в отчетном периоде",'[1]СВОД с расшиф'!$A$5,"Округ","СКФО","Наименование территории","РЕСПУБЛИКА ДАГЕСТАН")</f>
        <v>0</v>
      </c>
      <c r="T96" s="198">
        <f>GETPIVOTDATA("Сумма по полю Сумма отклонения по  выставленным счетам в отчетном периоде по дешкам",'[1]СВОД с расшиф'!$A$5,"Округ","СКФО","Наименование территории","РЕСПУБЛИКА ДАГЕСТАН")</f>
        <v>0</v>
      </c>
      <c r="U96" s="198">
        <f>GETPIVOTDATA("Сумма по полю Повторное отклонение по дешкам отчетного периода",'[1]СВОД с расшиф'!$A$5,"Округ","СКФО","Наименование территории","РЕСПУБЛИКА ДАГЕСТАН")</f>
        <v>0</v>
      </c>
      <c r="V96" s="198">
        <f>GETPIVOTDATA("Сумма по полю Сумма отклонения по  выставленным счетам за предыдущие периоды",'[1]СВОД с расшиф'!$A$5,"Округ","СКФО","Наименование территории","РЕСПУБЛИКА ДАГЕСТАН")</f>
        <v>0</v>
      </c>
      <c r="W96" s="152">
        <f>GETPIVOTDATA("Сумма по полю Задолженность по счету",'[1]СВОД с расшиф'!$A$5,"Округ","СКФО","Наименование территории","РЕСПУБЛИКА ДАГЕСТАН")</f>
        <v>0</v>
      </c>
      <c r="X96" s="152">
        <f t="shared" si="27"/>
        <v>0</v>
      </c>
      <c r="Y96" s="152">
        <f t="shared" si="28"/>
        <v>0</v>
      </c>
      <c r="Z96" s="152">
        <f t="shared" si="29"/>
        <v>0</v>
      </c>
      <c r="AA96" s="152">
        <v>44840.709999999992</v>
      </c>
      <c r="AB96" s="152">
        <f t="shared" si="30"/>
        <v>-44840.709999999992</v>
      </c>
      <c r="AC96" s="152">
        <f t="shared" si="31"/>
        <v>9.0949470177292824E-13</v>
      </c>
      <c r="AD96" s="152">
        <f t="shared" si="32"/>
        <v>0</v>
      </c>
    </row>
    <row r="97" spans="1:32">
      <c r="A97" s="131"/>
      <c r="B97" s="151" t="s">
        <v>42</v>
      </c>
      <c r="C97" s="198">
        <v>22778.25</v>
      </c>
      <c r="D97" s="198">
        <f>GETPIVOTDATA("Сумма по полю Сумма задолженности на начало года",'[1]СВОД с расшиф'!$A$5,"Округ","СКФО","Наименование территории","РЕСПУБЛИКА ИНГУШЕТИЯ")</f>
        <v>22778.25</v>
      </c>
      <c r="E97" s="152">
        <f t="shared" si="38"/>
        <v>108708.92</v>
      </c>
      <c r="F97" s="198">
        <f>GETPIVOTDATA("Сумма по полю Сумма задолженности на начало года повторно выставленные",'[1]СВОД с расшиф'!$A$5,"Округ","СКФО","Наименование территории","РЕСПУБЛИКА ИНГУШЕТИЯ")</f>
        <v>0</v>
      </c>
      <c r="G97" s="199">
        <f>GETPIVOTDATA("Сумма по полю Сумма выставленного счета в отчетном периоде",'[1]СВОД с расшиф'!$A$5,"Округ","СКФО","Наименование территории","РЕСПУБЛИКА ИНГУШЕТИЯ")</f>
        <v>108708.92</v>
      </c>
      <c r="H97" s="198">
        <f>GETPIVOTDATA("Сумма по полю Сумма повторно выставленного счета в отчетном периоде",'[1]СВОД с расшиф'!$A$5,"Округ","СКФО","Наименование территории","РЕСПУБЛИКА ИНГУШЕТИЯ")</f>
        <v>0</v>
      </c>
      <c r="I97" s="198">
        <f>GETPIVOTDATA("Сумма по полю Сумма выставленного за предыдущие периоды",'[1]СВОД с расшиф'!$A$5,"Округ","СКФО","Наименование территории","РЕСПУБЛИКА ИНГУШЕТИЯ")</f>
        <v>0</v>
      </c>
      <c r="J97" s="152">
        <f t="shared" si="33"/>
        <v>37376.11</v>
      </c>
      <c r="K97" s="198">
        <f>GETPIVOTDATA("Сумма по полю Оплаченная сумма по задолженности на начало года",'[1]СВОД с расшиф'!$A$5,"Округ","СКФО","Наименование территории","РЕСПУБЛИКА ИНГУШЕТИЯ")</f>
        <v>22778.25</v>
      </c>
      <c r="L97" s="199">
        <f>GETPIVOTDATA("Сумма по полю Оплаченная сумма по  выставленным счетам в отчетном периоде",'[1]СВОД с расшиф'!$A$5,"Округ","СКФО","Наименование территории","РЕСПУБЛИКА ИНГУШЕТИЯ")</f>
        <v>14597.86</v>
      </c>
      <c r="M97" s="199">
        <f>GETPIVOTDATA("Сумма по полю Оплаченная сумма за предыдущие  периоды",'[1]СВОД с расшиф'!$A$5,"Округ","СКФО","Наименование территории","РЕСПУБЛИКА ИНГУШЕТИЯ")</f>
        <v>0</v>
      </c>
      <c r="N97" s="200">
        <f t="shared" si="26"/>
        <v>0</v>
      </c>
      <c r="O97" s="152">
        <f t="shared" si="39"/>
        <v>0</v>
      </c>
      <c r="P97" s="198">
        <f>GETPIVOTDATA("Сумма по полю Сумма отклонения по  счетам задолженности на начало года",'[1]СВОД с расшиф'!$A$5,"Округ","СКФО","Наименование территории","РЕСПУБЛИКА ИНГУШЕТИЯ")</f>
        <v>0</v>
      </c>
      <c r="Q97" s="198">
        <f>GETPIVOTDATA("Сумма по полю Сумма отклонения по дешкам задолженности на начало года",'[1]СВОД с расшиф'!$A$5,"Округ","СКФО","Наименование территории","РЕСПУБЛИКА ИНГУШЕТИЯ")</f>
        <v>0</v>
      </c>
      <c r="R97" s="198">
        <f>GETPIVOTDATA("Сумма по полю Повтороное отклонение по дешкам задолженности на начало года",'[1]СВОД с расшиф'!$A$5,"Округ","СКФО","Наименование территории","РЕСПУБЛИКА ИНГУШЕТИЯ")</f>
        <v>0</v>
      </c>
      <c r="S97" s="199">
        <f>GETPIVOTDATA("Сумма по полю Сумма отклонения по  выставленным счетам в отчетном периоде",'[1]СВОД с расшиф'!$A$5,"Округ","СКФО","Наименование территории","РЕСПУБЛИКА ИНГУШЕТИЯ")</f>
        <v>0</v>
      </c>
      <c r="T97" s="198">
        <f>GETPIVOTDATA("Сумма по полю Сумма отклонения по  выставленным счетам в отчетном периоде по дешкам",'[1]СВОД с расшиф'!$A$5,"Округ","СКФО","Наименование территории","РЕСПУБЛИКА ИНГУШЕТИЯ")</f>
        <v>0</v>
      </c>
      <c r="U97" s="198">
        <f>GETPIVOTDATA("Сумма по полю Повторное отклонение по дешкам отчетного периода",'[1]СВОД с расшиф'!$A$5,"Округ","СКФО","Наименование территории","РЕСПУБЛИКА ИНГУШЕТИЯ")</f>
        <v>0</v>
      </c>
      <c r="V97" s="198">
        <f>GETPIVOTDATA("Сумма по полю Сумма отклонения по  выставленным счетам за предыдущие периоды",'[1]СВОД с расшиф'!$A$5,"Округ","СКФО","Наименование территории","РЕСПУБЛИКА ИНГУШЕТИЯ")</f>
        <v>0</v>
      </c>
      <c r="W97" s="152">
        <f>GETPIVOTDATA("Сумма по полю Задолженность по счету",'[1]СВОД с расшиф'!$A$5,"Округ","СКФО","Наименование территории","РЕСПУБЛИКА ИНГУШЕТИЯ")</f>
        <v>94111.06</v>
      </c>
      <c r="X97" s="152">
        <f t="shared" si="27"/>
        <v>94111.059999999983</v>
      </c>
      <c r="Y97" s="152">
        <f t="shared" si="28"/>
        <v>0</v>
      </c>
      <c r="Z97" s="152">
        <f t="shared" si="29"/>
        <v>94111.059999999983</v>
      </c>
      <c r="AA97" s="152">
        <v>2314</v>
      </c>
      <c r="AB97" s="152">
        <f t="shared" si="30"/>
        <v>91797.059999999983</v>
      </c>
      <c r="AC97" s="152">
        <f t="shared" si="31"/>
        <v>94111.059999999983</v>
      </c>
      <c r="AD97" s="152">
        <f t="shared" si="32"/>
        <v>0</v>
      </c>
    </row>
    <row r="98" spans="1:32" ht="25.5">
      <c r="A98" s="131"/>
      <c r="B98" s="151" t="s">
        <v>43</v>
      </c>
      <c r="C98" s="198">
        <v>0</v>
      </c>
      <c r="D98" s="198">
        <f>GETPIVOTDATA("Сумма по полю Сумма задолженности на начало года",'[1]СВОД с расшиф'!$A$5,"Округ","СКФО","Наименование территории","РЕСПУБЛИКА СЕВЕРНАЯ ОСЕТИЯ - АЛАНИЯ")</f>
        <v>0</v>
      </c>
      <c r="E98" s="152">
        <f t="shared" si="38"/>
        <v>135285.35999999999</v>
      </c>
      <c r="F98" s="198">
        <f>GETPIVOTDATA("Сумма по полю Сумма задолженности на начало года повторно выставленные",'[1]СВОД с расшиф'!$A$5,"Округ","СКФО","Наименование территории","РЕСПУБЛИКА СЕВЕРНАЯ ОСЕТИЯ - АЛАНИЯ")</f>
        <v>0</v>
      </c>
      <c r="G98" s="199">
        <f>GETPIVOTDATA("Сумма по полю Сумма выставленного счета в отчетном периоде",'[1]СВОД с расшиф'!$A$5,"Округ","СКФО","Наименование территории","РЕСПУБЛИКА СЕВЕРНАЯ ОСЕТИЯ - АЛАНИЯ")</f>
        <v>135285.35999999999</v>
      </c>
      <c r="H98" s="198">
        <f>GETPIVOTDATA("Сумма по полю Сумма повторно выставленного счета в отчетном периоде",'[1]СВОД с расшиф'!$A$5,"Округ","СКФО","Наименование территории","РЕСПУБЛИКА СЕВЕРНАЯ ОСЕТИЯ - АЛАНИЯ")</f>
        <v>0</v>
      </c>
      <c r="I98" s="198">
        <f>GETPIVOTDATA("Сумма по полю Сумма выставленного за предыдущие периоды",'[1]СВОД с расшиф'!$A$5,"Округ","СКФО","Наименование территории","РЕСПУБЛИКА СЕВЕРНАЯ ОСЕТИЯ - АЛАНИЯ")</f>
        <v>0</v>
      </c>
      <c r="J98" s="152">
        <f t="shared" si="33"/>
        <v>69516.929999999993</v>
      </c>
      <c r="K98" s="198">
        <f>GETPIVOTDATA("Сумма по полю Оплаченная сумма по задолженности на начало года",'[1]СВОД с расшиф'!$A$5,"Округ","СКФО","Наименование территории","РЕСПУБЛИКА СЕВЕРНАЯ ОСЕТИЯ - АЛАНИЯ")</f>
        <v>0</v>
      </c>
      <c r="L98" s="199">
        <f>GETPIVOTDATA("Сумма по полю Оплаченная сумма по  выставленным счетам в отчетном периоде",'[1]СВОД с расшиф'!$A$5,"Округ","СКФО","Наименование территории","РЕСПУБЛИКА СЕВЕРНАЯ ОСЕТИЯ - АЛАНИЯ")</f>
        <v>69516.929999999993</v>
      </c>
      <c r="M98" s="199">
        <f>GETPIVOTDATA("Сумма по полю Оплаченная сумма за предыдущие  периоды",'[1]СВОД с расшиф'!$A$5,"Округ","СКФО","Наименование территории","РЕСПУБЛИКА СЕВЕРНАЯ ОСЕТИЯ - АЛАНИЯ")</f>
        <v>0</v>
      </c>
      <c r="N98" s="200">
        <f t="shared" si="26"/>
        <v>0</v>
      </c>
      <c r="O98" s="152">
        <f t="shared" si="39"/>
        <v>0</v>
      </c>
      <c r="P98" s="198">
        <f>GETPIVOTDATA("Сумма по полю Сумма отклонения по  счетам задолженности на начало года",'[1]СВОД с расшиф'!$A$5,"Округ","СКФО","Наименование территории","РЕСПУБЛИКА СЕВЕРНАЯ ОСЕТИЯ - АЛАНИЯ")</f>
        <v>0</v>
      </c>
      <c r="Q98" s="198">
        <f>GETPIVOTDATA("Сумма по полю Сумма отклонения по дешкам задолженности на начало года",'[1]СВОД с расшиф'!$A$5,"Округ","СКФО","Наименование территории","РЕСПУБЛИКА СЕВЕРНАЯ ОСЕТИЯ - АЛАНИЯ")</f>
        <v>0</v>
      </c>
      <c r="R98" s="198">
        <f>GETPIVOTDATA("Сумма по полю Повтороное отклонение по дешкам задолженности на начало года",'[1]СВОД с расшиф'!$A$5,"Округ","СКФО","Наименование территории","РЕСПУБЛИКА СЕВЕРНАЯ ОСЕТИЯ - АЛАНИЯ")</f>
        <v>0</v>
      </c>
      <c r="S98" s="199">
        <f>GETPIVOTDATA("Сумма по полю Сумма отклонения по  выставленным счетам в отчетном периоде",'[1]СВОД с расшиф'!$A$5,"Округ","СКФО","Наименование территории","РЕСПУБЛИКА СЕВЕРНАЯ ОСЕТИЯ - АЛАНИЯ")</f>
        <v>0</v>
      </c>
      <c r="T98" s="198">
        <f>GETPIVOTDATA("Сумма по полю Сумма отклонения по  выставленным счетам в отчетном периоде по дешкам",'[1]СВОД с расшиф'!$A$5,"Округ","СКФО","Наименование территории","РЕСПУБЛИКА СЕВЕРНАЯ ОСЕТИЯ - АЛАНИЯ")</f>
        <v>0</v>
      </c>
      <c r="U98" s="198">
        <f>GETPIVOTDATA("Сумма по полю Повторное отклонение по дешкам отчетного периода",'[1]СВОД с расшиф'!$A$5,"Округ","СКФО","Наименование территории","РЕСПУБЛИКА СЕВЕРНАЯ ОСЕТИЯ - АЛАНИЯ")</f>
        <v>0</v>
      </c>
      <c r="V98" s="198">
        <f>GETPIVOTDATA("Сумма по полю Сумма отклонения по  выставленным счетам за предыдущие периоды",'[1]СВОД с расшиф'!$A$5,"Округ","СКФО","Наименование территории","РЕСПУБЛИКА СЕВЕРНАЯ ОСЕТИЯ - АЛАНИЯ")</f>
        <v>0</v>
      </c>
      <c r="W98" s="152">
        <f>GETPIVOTDATA("Сумма по полю Задолженность по счету",'[1]СВОД с расшиф'!$A$5,"Округ","СКФО","Наименование территории","РЕСПУБЛИКА СЕВЕРНАЯ ОСЕТИЯ - АЛАНИЯ")</f>
        <v>65768.429999999993</v>
      </c>
      <c r="X98" s="152">
        <f t="shared" si="27"/>
        <v>65768.429999999993</v>
      </c>
      <c r="Y98" s="152">
        <f t="shared" si="28"/>
        <v>0</v>
      </c>
      <c r="Z98" s="152">
        <f t="shared" si="29"/>
        <v>65768.429999999993</v>
      </c>
      <c r="AA98" s="152">
        <v>85213.989999999991</v>
      </c>
      <c r="AB98" s="152">
        <f t="shared" si="30"/>
        <v>-19445.559999999998</v>
      </c>
      <c r="AC98" s="152">
        <f t="shared" si="31"/>
        <v>65768.429999999993</v>
      </c>
      <c r="AD98" s="152">
        <f t="shared" si="32"/>
        <v>0</v>
      </c>
    </row>
    <row r="99" spans="1:32">
      <c r="A99" s="131"/>
      <c r="B99" s="151" t="s">
        <v>44</v>
      </c>
      <c r="C99" s="198">
        <v>343858.73000000004</v>
      </c>
      <c r="D99" s="198">
        <f>GETPIVOTDATA("Сумма по полю Сумма задолженности на начало года",'[1]СВОД с расшиф'!$A$5,"Округ","СКФО","Наименование территории","СТАВРОПОЛЬСКИЙ КРАЙ")</f>
        <v>343858.73000000004</v>
      </c>
      <c r="E99" s="152">
        <f t="shared" si="38"/>
        <v>661854.43999999994</v>
      </c>
      <c r="F99" s="198">
        <f>GETPIVOTDATA("Сумма по полю Сумма задолженности на начало года повторно выставленные",'[1]СВОД с расшиф'!$A$5,"Округ","СКФО","Наименование территории","СТАВРОПОЛЬСКИЙ КРАЙ")</f>
        <v>0</v>
      </c>
      <c r="G99" s="199">
        <f>GETPIVOTDATA("Сумма по полю Сумма выставленного счета в отчетном периоде",'[1]СВОД с расшиф'!$A$5,"Округ","СКФО","Наименование территории","СТАВРОПОЛЬСКИЙ КРАЙ")</f>
        <v>661854.43999999994</v>
      </c>
      <c r="H99" s="198">
        <f>GETPIVOTDATA("Сумма по полю Сумма повторно выставленного счета в отчетном периоде",'[1]СВОД с расшиф'!$A$5,"Округ","СКФО","Наименование территории","СТАВРОПОЛЬСКИЙ КРАЙ")</f>
        <v>0</v>
      </c>
      <c r="I99" s="198">
        <f>GETPIVOTDATA("Сумма по полю Сумма выставленного за предыдущие периоды",'[1]СВОД с расшиф'!$A$5,"Округ","СКФО","Наименование территории","СТАВРОПОЛЬСКИЙ КРАЙ")</f>
        <v>0</v>
      </c>
      <c r="J99" s="152">
        <f t="shared" si="33"/>
        <v>868462.2</v>
      </c>
      <c r="K99" s="198">
        <f>GETPIVOTDATA("Сумма по полю Оплаченная сумма по задолженности на начало года",'[1]СВОД с расшиф'!$A$5,"Округ","СКФО","Наименование территории","СТАВРОПОЛЬСКИЙ КРАЙ")</f>
        <v>343858.73000000004</v>
      </c>
      <c r="L99" s="199">
        <f>GETPIVOTDATA("Сумма по полю Оплаченная сумма по  выставленным счетам в отчетном периоде",'[1]СВОД с расшиф'!$A$5,"Округ","СКФО","Наименование территории","СТАВРОПОЛЬСКИЙ КРАЙ")</f>
        <v>524603.47</v>
      </c>
      <c r="M99" s="199">
        <f>GETPIVOTDATA("Сумма по полю Оплаченная сумма за предыдущие  периоды",'[1]СВОД с расшиф'!$A$5,"Округ","СКФО","Наименование территории","СТАВРОПОЛЬСКИЙ КРАЙ")</f>
        <v>0</v>
      </c>
      <c r="N99" s="200">
        <f t="shared" si="26"/>
        <v>0</v>
      </c>
      <c r="O99" s="152">
        <f t="shared" si="39"/>
        <v>0</v>
      </c>
      <c r="P99" s="198">
        <f>GETPIVOTDATA("Сумма по полю Сумма отклонения по  счетам задолженности на начало года",'[1]СВОД с расшиф'!$A$5,"Округ","СКФО","Наименование территории","СТАВРОПОЛЬСКИЙ КРАЙ")</f>
        <v>0</v>
      </c>
      <c r="Q99" s="198">
        <f>GETPIVOTDATA("Сумма по полю Сумма отклонения по дешкам задолженности на начало года",'[1]СВОД с расшиф'!$A$5,"Округ","СКФО","Наименование территории","СТАВРОПОЛЬСКИЙ КРАЙ")</f>
        <v>0</v>
      </c>
      <c r="R99" s="198">
        <f>GETPIVOTDATA("Сумма по полю Повтороное отклонение по дешкам задолженности на начало года",'[1]СВОД с расшиф'!$A$5,"Округ","СКФО","Наименование территории","СТАВРОПОЛЬСКИЙ КРАЙ")</f>
        <v>0</v>
      </c>
      <c r="S99" s="199">
        <f>GETPIVOTDATA("Сумма по полю Сумма отклонения по  выставленным счетам в отчетном периоде",'[1]СВОД с расшиф'!$A$5,"Округ","СКФО","Наименование территории","СТАВРОПОЛЬСКИЙ КРАЙ")</f>
        <v>0</v>
      </c>
      <c r="T99" s="198">
        <f>GETPIVOTDATA("Сумма по полю Сумма отклонения по  выставленным счетам в отчетном периоде по дешкам",'[1]СВОД с расшиф'!$A$5,"Округ","СКФО","Наименование территории","СТАВРОПОЛЬСКИЙ КРАЙ")</f>
        <v>0</v>
      </c>
      <c r="U99" s="198">
        <f>GETPIVOTDATA("Сумма по полю Повторное отклонение по дешкам отчетного периода",'[1]СВОД с расшиф'!$A$5,"Округ","СКФО","Наименование территории","СТАВРОПОЛЬСКИЙ КРАЙ")</f>
        <v>0</v>
      </c>
      <c r="V99" s="198">
        <f>GETPIVOTDATA("Сумма по полю Сумма отклонения по  выставленным счетам за предыдущие периоды",'[1]СВОД с расшиф'!$A$5,"Округ","СКФО","Наименование территории","СТАВРОПОЛЬСКИЙ КРАЙ")</f>
        <v>0</v>
      </c>
      <c r="W99" s="152">
        <f>GETPIVOTDATA("Сумма по полю Задолженность по счету",'[1]СВОД с расшиф'!$A$5,"Округ","СКФО","Наименование территории","СТАВРОПОЛЬСКИЙ КРАЙ")</f>
        <v>137250.97</v>
      </c>
      <c r="X99" s="152">
        <f t="shared" si="27"/>
        <v>137250.96999999997</v>
      </c>
      <c r="Y99" s="152">
        <f t="shared" si="28"/>
        <v>0</v>
      </c>
      <c r="Z99" s="152">
        <f t="shared" si="29"/>
        <v>137250.96999999997</v>
      </c>
      <c r="AA99" s="152">
        <v>907026.94000000006</v>
      </c>
      <c r="AB99" s="152">
        <f t="shared" si="30"/>
        <v>-769775.97000000009</v>
      </c>
      <c r="AC99" s="152">
        <f t="shared" si="31"/>
        <v>137250.96999999997</v>
      </c>
      <c r="AD99" s="152">
        <f t="shared" si="32"/>
        <v>0</v>
      </c>
    </row>
    <row r="100" spans="1:32">
      <c r="A100" s="131"/>
      <c r="B100" s="151" t="s">
        <v>45</v>
      </c>
      <c r="C100" s="198">
        <v>640938.57000000007</v>
      </c>
      <c r="D100" s="198">
        <f>GETPIVOTDATA("Сумма по полю Сумма задолженности на начало года",'[1]СВОД с расшиф'!$A$5,"Округ","СКФО","Наименование территории","ЧЕЧЕНСКАЯ РЕСПУБЛИКА")</f>
        <v>640938.57000000007</v>
      </c>
      <c r="E100" s="152">
        <f t="shared" si="38"/>
        <v>377618.39</v>
      </c>
      <c r="F100" s="198">
        <f>GETPIVOTDATA("Сумма по полю Сумма задолженности на начало года повторно выставленные",'[1]СВОД с расшиф'!$A$5,"Округ","СКФО","Наименование территории","ЧЕЧЕНСКАЯ РЕСПУБЛИКА")</f>
        <v>0</v>
      </c>
      <c r="G100" s="199">
        <f>GETPIVOTDATA("Сумма по полю Сумма выставленного счета в отчетном периоде",'[1]СВОД с расшиф'!$A$5,"Округ","СКФО","Наименование территории","ЧЕЧЕНСКАЯ РЕСПУБЛИКА")</f>
        <v>377618.39</v>
      </c>
      <c r="H100" s="198">
        <f>GETPIVOTDATA("Сумма по полю Сумма повторно выставленного счета в отчетном периоде",'[1]СВОД с расшиф'!$A$5,"Округ","СКФО","Наименование территории","ЧЕЧЕНСКАЯ РЕСПУБЛИКА")</f>
        <v>0</v>
      </c>
      <c r="I100" s="198">
        <f>GETPIVOTDATA("Сумма по полю Сумма выставленного за предыдущие периоды",'[1]СВОД с расшиф'!$A$5,"Округ","СКФО","Наименование территории","ЧЕЧЕНСКАЯ РЕСПУБЛИКА")</f>
        <v>0</v>
      </c>
      <c r="J100" s="152">
        <f t="shared" si="33"/>
        <v>640938.57000000007</v>
      </c>
      <c r="K100" s="198">
        <f>GETPIVOTDATA("Сумма по полю Оплаченная сумма по задолженности на начало года",'[1]СВОД с расшиф'!$A$5,"Округ","СКФО","Наименование территории","ЧЕЧЕНСКАЯ РЕСПУБЛИКА")</f>
        <v>640938.57000000007</v>
      </c>
      <c r="L100" s="199">
        <f>GETPIVOTDATA("Сумма по полю Оплаченная сумма по  выставленным счетам в отчетном периоде",'[1]СВОД с расшиф'!$A$5,"Округ","СКФО","Наименование территории","ЧЕЧЕНСКАЯ РЕСПУБЛИКА")</f>
        <v>0</v>
      </c>
      <c r="M100" s="199">
        <f>GETPIVOTDATA("Сумма по полю Оплаченная сумма за предыдущие  периоды",'[1]СВОД с расшиф'!$A$5,"Округ","СКФО","Наименование территории","ЧЕЧЕНСКАЯ РЕСПУБЛИКА")</f>
        <v>0</v>
      </c>
      <c r="N100" s="200">
        <f t="shared" si="26"/>
        <v>0</v>
      </c>
      <c r="O100" s="152">
        <f t="shared" si="39"/>
        <v>0</v>
      </c>
      <c r="P100" s="198">
        <f>GETPIVOTDATA("Сумма по полю Сумма отклонения по  счетам задолженности на начало года",'[1]СВОД с расшиф'!$A$5,"Округ","СКФО","Наименование территории","ЧЕЧЕНСКАЯ РЕСПУБЛИКА")</f>
        <v>0</v>
      </c>
      <c r="Q100" s="198">
        <f>GETPIVOTDATA("Сумма по полю Сумма отклонения по дешкам задолженности на начало года",'[1]СВОД с расшиф'!$A$5,"Округ","СКФО","Наименование территории","ЧЕЧЕНСКАЯ РЕСПУБЛИКА")</f>
        <v>0</v>
      </c>
      <c r="R100" s="198">
        <f>GETPIVOTDATA("Сумма по полю Повтороное отклонение по дешкам задолженности на начало года",'[1]СВОД с расшиф'!$A$5,"Округ","СКФО","Наименование территории","ЧЕЧЕНСКАЯ РЕСПУБЛИКА")</f>
        <v>0</v>
      </c>
      <c r="S100" s="199">
        <f>GETPIVOTDATA("Сумма по полю Сумма отклонения по  выставленным счетам в отчетном периоде",'[1]СВОД с расшиф'!$A$5,"Округ","СКФО","Наименование территории","ЧЕЧЕНСКАЯ РЕСПУБЛИКА")</f>
        <v>0</v>
      </c>
      <c r="T100" s="198">
        <f>GETPIVOTDATA("Сумма по полю Сумма отклонения по  выставленным счетам в отчетном периоде по дешкам",'[1]СВОД с расшиф'!$A$5,"Округ","СКФО","Наименование территории","ЧЕЧЕНСКАЯ РЕСПУБЛИКА")</f>
        <v>0</v>
      </c>
      <c r="U100" s="198">
        <f>GETPIVOTDATA("Сумма по полю Повторное отклонение по дешкам отчетного периода",'[1]СВОД с расшиф'!$A$5,"Округ","СКФО","Наименование территории","ЧЕЧЕНСКАЯ РЕСПУБЛИКА")</f>
        <v>0</v>
      </c>
      <c r="V100" s="198">
        <f>GETPIVOTDATA("Сумма по полю Сумма отклонения по  выставленным счетам за предыдущие периоды",'[1]СВОД с расшиф'!$A$5,"Округ","СКФО","Наименование территории","ЧЕЧЕНСКАЯ РЕСПУБЛИКА")</f>
        <v>0</v>
      </c>
      <c r="W100" s="152">
        <f>GETPIVOTDATA("Сумма по полю Задолженность по счету",'[1]СВОД с расшиф'!$A$5,"Округ","СКФО","Наименование территории","ЧЕЧЕНСКАЯ РЕСПУБЛИКА")</f>
        <v>377618.39</v>
      </c>
      <c r="X100" s="152">
        <f t="shared" si="27"/>
        <v>377618.39</v>
      </c>
      <c r="Y100" s="152">
        <f t="shared" si="28"/>
        <v>0</v>
      </c>
      <c r="Z100" s="152">
        <f t="shared" si="29"/>
        <v>377618.39</v>
      </c>
      <c r="AA100" s="152">
        <v>102715.09</v>
      </c>
      <c r="AB100" s="152">
        <f t="shared" si="30"/>
        <v>274903.30000000005</v>
      </c>
      <c r="AC100" s="152">
        <f t="shared" si="31"/>
        <v>377618.39</v>
      </c>
      <c r="AD100" s="152">
        <f t="shared" si="32"/>
        <v>0</v>
      </c>
    </row>
    <row r="101" spans="1:32">
      <c r="A101" s="153" t="s">
        <v>137</v>
      </c>
      <c r="B101" s="154"/>
      <c r="C101" s="201">
        <f>SUM(C94:C100)</f>
        <v>1052745.4500000002</v>
      </c>
      <c r="D101" s="202">
        <f>SUM(D94:D100)</f>
        <v>1052745.4500000002</v>
      </c>
      <c r="E101" s="155">
        <f>SUM(E94:E100)</f>
        <v>1327834.6099999999</v>
      </c>
      <c r="F101" s="202">
        <f>SUM(F94:F100)</f>
        <v>0</v>
      </c>
      <c r="G101" s="202">
        <f t="shared" ref="G101:W101" si="40">SUM(G94:G100)</f>
        <v>1327834.6099999999</v>
      </c>
      <c r="H101" s="202">
        <f>SUM(H94:H100)</f>
        <v>0</v>
      </c>
      <c r="I101" s="202">
        <f t="shared" si="40"/>
        <v>0</v>
      </c>
      <c r="J101" s="155">
        <f t="shared" si="40"/>
        <v>1671730.1800000002</v>
      </c>
      <c r="K101" s="202">
        <f t="shared" si="40"/>
        <v>1052745.4500000002</v>
      </c>
      <c r="L101" s="202">
        <f t="shared" si="40"/>
        <v>618984.73</v>
      </c>
      <c r="M101" s="202">
        <f t="shared" si="40"/>
        <v>0</v>
      </c>
      <c r="N101" s="202">
        <f t="shared" si="40"/>
        <v>0</v>
      </c>
      <c r="O101" s="155">
        <f>SUM(O94:O100)</f>
        <v>0</v>
      </c>
      <c r="P101" s="202">
        <f t="shared" si="40"/>
        <v>0</v>
      </c>
      <c r="Q101" s="202">
        <f t="shared" si="40"/>
        <v>0</v>
      </c>
      <c r="R101" s="202">
        <f t="shared" si="40"/>
        <v>0</v>
      </c>
      <c r="S101" s="202">
        <f t="shared" si="40"/>
        <v>0</v>
      </c>
      <c r="T101" s="202">
        <f t="shared" si="40"/>
        <v>0</v>
      </c>
      <c r="U101" s="202">
        <f>SUM(U94:U100)</f>
        <v>0</v>
      </c>
      <c r="V101" s="202">
        <f t="shared" si="40"/>
        <v>0</v>
      </c>
      <c r="W101" s="155">
        <f t="shared" si="40"/>
        <v>708849.88</v>
      </c>
      <c r="X101" s="204">
        <f t="shared" si="27"/>
        <v>708849.87999999989</v>
      </c>
      <c r="Y101" s="204">
        <f t="shared" si="28"/>
        <v>0</v>
      </c>
      <c r="Z101" s="155">
        <f t="shared" si="29"/>
        <v>708849.87999999989</v>
      </c>
      <c r="AA101" s="155">
        <v>1221705.5400000003</v>
      </c>
      <c r="AB101" s="155">
        <f t="shared" si="30"/>
        <v>-512855.66000000038</v>
      </c>
      <c r="AC101" s="155">
        <f t="shared" si="31"/>
        <v>708849.87999999989</v>
      </c>
      <c r="AD101" s="155">
        <f t="shared" si="32"/>
        <v>0</v>
      </c>
    </row>
    <row r="102" spans="1:32" s="3" customFormat="1" ht="21" customHeight="1">
      <c r="A102" s="209" t="s">
        <v>138</v>
      </c>
      <c r="B102" s="210"/>
      <c r="C102" s="211">
        <f t="shared" ref="C102:AD102" si="41">C4+C16+C31+C43+C54+C61+C80+C93+C101</f>
        <v>94854046.640000015</v>
      </c>
      <c r="D102" s="211">
        <f t="shared" si="41"/>
        <v>95421239.800000012</v>
      </c>
      <c r="E102" s="211">
        <f t="shared" si="41"/>
        <v>181035678.80000001</v>
      </c>
      <c r="F102" s="211">
        <f t="shared" si="41"/>
        <v>0</v>
      </c>
      <c r="G102" s="211">
        <f t="shared" si="41"/>
        <v>181035678.80000001</v>
      </c>
      <c r="H102" s="211">
        <f t="shared" si="41"/>
        <v>0</v>
      </c>
      <c r="I102" s="211">
        <f t="shared" si="41"/>
        <v>0</v>
      </c>
      <c r="J102" s="211">
        <f t="shared" si="41"/>
        <v>199103791.73000002</v>
      </c>
      <c r="K102" s="211">
        <f t="shared" si="41"/>
        <v>95416273.710000008</v>
      </c>
      <c r="L102" s="211">
        <f t="shared" si="41"/>
        <v>103687518.02000003</v>
      </c>
      <c r="M102" s="211">
        <f t="shared" si="41"/>
        <v>0</v>
      </c>
      <c r="N102" s="211">
        <f t="shared" si="41"/>
        <v>6692.83</v>
      </c>
      <c r="O102" s="211">
        <f t="shared" si="41"/>
        <v>6692.83</v>
      </c>
      <c r="P102" s="211">
        <f t="shared" si="41"/>
        <v>4966.09</v>
      </c>
      <c r="Q102" s="211">
        <f t="shared" si="41"/>
        <v>0</v>
      </c>
      <c r="R102" s="211">
        <f t="shared" si="41"/>
        <v>0</v>
      </c>
      <c r="S102" s="211">
        <f t="shared" si="41"/>
        <v>1726.74</v>
      </c>
      <c r="T102" s="211">
        <f t="shared" si="41"/>
        <v>0</v>
      </c>
      <c r="U102" s="211">
        <f t="shared" si="41"/>
        <v>0</v>
      </c>
      <c r="V102" s="211">
        <f t="shared" si="41"/>
        <v>0</v>
      </c>
      <c r="W102" s="211">
        <f t="shared" si="41"/>
        <v>77346434.039999977</v>
      </c>
      <c r="X102" s="211">
        <f t="shared" si="41"/>
        <v>77346434.039999977</v>
      </c>
      <c r="Y102" s="211">
        <f t="shared" si="41"/>
        <v>0</v>
      </c>
      <c r="Z102" s="211">
        <f t="shared" si="41"/>
        <v>77346434.039999977</v>
      </c>
      <c r="AA102" s="211">
        <f t="shared" si="41"/>
        <v>87363809.650000006</v>
      </c>
      <c r="AB102" s="211">
        <f t="shared" si="41"/>
        <v>-10017375.610000014</v>
      </c>
      <c r="AC102" s="211">
        <f t="shared" si="41"/>
        <v>77346434.040000007</v>
      </c>
      <c r="AD102" s="211">
        <f t="shared" si="41"/>
        <v>0</v>
      </c>
      <c r="AF102" s="212"/>
    </row>
    <row r="103" spans="1:32">
      <c r="W103" s="212"/>
      <c r="Z103" s="182"/>
      <c r="AA103" s="212"/>
      <c r="AB103" s="212"/>
      <c r="AC103" s="212"/>
      <c r="AD103" s="212"/>
    </row>
  </sheetData>
  <autoFilter ref="A2:AD102"/>
  <pageMargins left="0.19685039370078741" right="0.19685039370078741" top="0.27559055118110237" bottom="0.19685039370078741" header="0.15748031496062992" footer="0.15748031496062992"/>
  <pageSetup paperSize="9"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3"/>
  <dimension ref="A1"/>
  <sheetViews>
    <sheetView workbookViewId="0">
      <selection activeCell="I35" sqref="I35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theme="5" tint="0.59999389629810485"/>
    <pageSetUpPr fitToPage="1"/>
  </sheetPr>
  <dimension ref="A1:H15"/>
  <sheetViews>
    <sheetView workbookViewId="0">
      <selection activeCell="C5" sqref="C5"/>
    </sheetView>
  </sheetViews>
  <sheetFormatPr defaultRowHeight="12.75"/>
  <cols>
    <col min="1" max="1" width="6.140625" customWidth="1"/>
    <col min="2" max="2" width="36.7109375" customWidth="1"/>
    <col min="3" max="3" width="21.5703125" customWidth="1"/>
    <col min="4" max="4" width="22.140625" customWidth="1"/>
    <col min="5" max="5" width="21.5703125" customWidth="1"/>
    <col min="6" max="6" width="22.140625" customWidth="1"/>
    <col min="7" max="7" width="15.5703125" customWidth="1"/>
    <col min="8" max="8" width="12.85546875" customWidth="1"/>
  </cols>
  <sheetData>
    <row r="1" spans="1:8" ht="54" customHeight="1">
      <c r="A1" s="306" t="s">
        <v>203</v>
      </c>
      <c r="B1" s="306"/>
      <c r="C1" s="306"/>
      <c r="D1" s="306"/>
      <c r="E1" s="306"/>
      <c r="F1" s="306"/>
      <c r="G1" s="306"/>
      <c r="H1" s="306"/>
    </row>
    <row r="2" spans="1:8" ht="112.5" customHeight="1">
      <c r="A2" s="309" t="s">
        <v>96</v>
      </c>
      <c r="B2" s="310" t="s">
        <v>0</v>
      </c>
      <c r="C2" s="311" t="s">
        <v>204</v>
      </c>
      <c r="D2" s="312"/>
      <c r="E2" s="313" t="s">
        <v>205</v>
      </c>
      <c r="F2" s="314"/>
      <c r="G2" s="298" t="s">
        <v>98</v>
      </c>
      <c r="H2" s="298" t="s">
        <v>106</v>
      </c>
    </row>
    <row r="3" spans="1:8" ht="92.25" customHeight="1">
      <c r="A3" s="309"/>
      <c r="B3" s="310"/>
      <c r="C3" s="6" t="s">
        <v>94</v>
      </c>
      <c r="D3" s="25" t="s">
        <v>184</v>
      </c>
      <c r="E3" s="6" t="s">
        <v>94</v>
      </c>
      <c r="F3" s="25" t="s">
        <v>185</v>
      </c>
      <c r="G3" s="299"/>
      <c r="H3" s="299"/>
    </row>
    <row r="4" spans="1:8" ht="50.1" customHeight="1">
      <c r="A4" s="12">
        <v>1</v>
      </c>
      <c r="B4" s="68" t="s">
        <v>13</v>
      </c>
      <c r="C4" s="52">
        <f>ПОСТУПИВШИЕ!C16</f>
        <v>67</v>
      </c>
      <c r="D4" s="48">
        <f>ПОСТУПИВШИЕ!D16</f>
        <v>542422.89</v>
      </c>
      <c r="E4" s="47">
        <f>ПОСТУПИВШИЕ!E16</f>
        <v>75</v>
      </c>
      <c r="F4" s="48">
        <f>ПОСТУПИВШИЕ!F16</f>
        <v>260486.63</v>
      </c>
      <c r="G4" s="54">
        <f t="shared" ref="G4:G9" si="0">E4/C4*100-100</f>
        <v>11.940298507462671</v>
      </c>
      <c r="H4" s="59">
        <v>0</v>
      </c>
    </row>
    <row r="5" spans="1:8" ht="50.1" customHeight="1">
      <c r="A5" s="12">
        <v>2</v>
      </c>
      <c r="B5" s="68" t="s">
        <v>15</v>
      </c>
      <c r="C5" s="52">
        <f>ПОСТУПИВШИЕ!C18</f>
        <v>371</v>
      </c>
      <c r="D5" s="48">
        <f>ПОСТУПИВШИЕ!D18</f>
        <v>1879104.33</v>
      </c>
      <c r="E5" s="47">
        <f>ПОСТУПИВШИЕ!E18</f>
        <v>348</v>
      </c>
      <c r="F5" s="48">
        <f>ПОСТУПИВШИЕ!F18</f>
        <v>2261108.36</v>
      </c>
      <c r="G5" s="54">
        <f t="shared" si="0"/>
        <v>-6.1994609164420496</v>
      </c>
      <c r="H5" s="59">
        <f t="shared" ref="H5:H10" si="1">F5/D5*100-100</f>
        <v>20.329048467468525</v>
      </c>
    </row>
    <row r="6" spans="1:8" ht="50.1" customHeight="1">
      <c r="A6" s="12">
        <v>3</v>
      </c>
      <c r="B6" s="68" t="s">
        <v>54</v>
      </c>
      <c r="C6" s="52">
        <f>ПОСТУПИВШИЕ!C63</f>
        <v>410</v>
      </c>
      <c r="D6" s="51">
        <f>ПОСТУПИВШИЕ!D63</f>
        <v>4312894.6399999997</v>
      </c>
      <c r="E6" s="50">
        <f>ПОСТУПИВШИЕ!E63</f>
        <v>422</v>
      </c>
      <c r="F6" s="51">
        <f>ПОСТУПИВШИЕ!F63</f>
        <v>17448652.869999997</v>
      </c>
      <c r="G6" s="54">
        <f t="shared" si="0"/>
        <v>2.9268292682926926</v>
      </c>
      <c r="H6" s="59">
        <f t="shared" si="1"/>
        <v>304.56942092144408</v>
      </c>
    </row>
    <row r="7" spans="1:8" ht="50.1" customHeight="1">
      <c r="A7" s="12">
        <v>4</v>
      </c>
      <c r="B7" s="68" t="s">
        <v>56</v>
      </c>
      <c r="C7" s="52">
        <f>ПОСТУПИВШИЕ!C65</f>
        <v>372</v>
      </c>
      <c r="D7" s="51">
        <f>ПОСТУПИВШИЕ!D65</f>
        <v>3470817.6399999997</v>
      </c>
      <c r="E7" s="50">
        <f>ПОСТУПИВШИЕ!E65</f>
        <v>346</v>
      </c>
      <c r="F7" s="51">
        <f>ПОСТУПИВШИЕ!F65</f>
        <v>2465202</v>
      </c>
      <c r="G7" s="54">
        <f t="shared" si="0"/>
        <v>-6.9892473118279668</v>
      </c>
      <c r="H7" s="59">
        <f t="shared" si="1"/>
        <v>-28.973450763031153</v>
      </c>
    </row>
    <row r="8" spans="1:8" ht="50.1" customHeight="1">
      <c r="A8" s="12">
        <v>5</v>
      </c>
      <c r="B8" s="68" t="s">
        <v>57</v>
      </c>
      <c r="C8" s="52">
        <f>ПОСТУПИВШИЕ!C66</f>
        <v>1028</v>
      </c>
      <c r="D8" s="51">
        <f>ПОСТУПИВШИЕ!D66</f>
        <v>8655276.4800000004</v>
      </c>
      <c r="E8" s="50">
        <f>ПОСТУПИВШИЕ!E66</f>
        <v>949</v>
      </c>
      <c r="F8" s="51">
        <f>ПОСТУПИВШИЕ!F66</f>
        <v>8165005.1000000006</v>
      </c>
      <c r="G8" s="54">
        <f t="shared" si="0"/>
        <v>-7.684824902723733</v>
      </c>
      <c r="H8" s="59">
        <f t="shared" si="1"/>
        <v>-5.6644219411463581</v>
      </c>
    </row>
    <row r="9" spans="1:8" ht="50.1" customHeight="1">
      <c r="A9" s="12">
        <v>6</v>
      </c>
      <c r="B9" s="68" t="s">
        <v>59</v>
      </c>
      <c r="C9" s="52">
        <f>ПОСТУПИВШИЕ!C68</f>
        <v>576</v>
      </c>
      <c r="D9" s="51">
        <f>ПОСТУПИВШИЕ!D68</f>
        <v>5185920.9399999995</v>
      </c>
      <c r="E9" s="50">
        <f>ПОСТУПИВШИЕ!E68</f>
        <v>587</v>
      </c>
      <c r="F9" s="51">
        <f>ПОСТУПИВШИЕ!F68</f>
        <v>6770329</v>
      </c>
      <c r="G9" s="54">
        <f t="shared" si="0"/>
        <v>1.9097222222222285</v>
      </c>
      <c r="H9" s="59">
        <f t="shared" si="1"/>
        <v>30.552105948610944</v>
      </c>
    </row>
    <row r="10" spans="1:8" ht="38.25" customHeight="1">
      <c r="A10" s="16"/>
      <c r="B10" s="15" t="s">
        <v>92</v>
      </c>
      <c r="C10" s="69">
        <f>SUM(C4:C9)</f>
        <v>2824</v>
      </c>
      <c r="D10" s="70">
        <f>SUM(D4:D9)</f>
        <v>24046436.920000002</v>
      </c>
      <c r="E10" s="69">
        <f>SUM(E4:E9)</f>
        <v>2727</v>
      </c>
      <c r="F10" s="70">
        <f>SUM(F4:F9)</f>
        <v>37370783.959999993</v>
      </c>
      <c r="G10" s="73">
        <f>E10/C10*100-100</f>
        <v>-3.4348441926345572</v>
      </c>
      <c r="H10" s="74">
        <f t="shared" si="1"/>
        <v>55.410899686838064</v>
      </c>
    </row>
    <row r="13" spans="1:8" s="58" customFormat="1" ht="18">
      <c r="A13" s="55"/>
      <c r="B13" s="56" t="s">
        <v>159</v>
      </c>
      <c r="C13" s="295" t="s">
        <v>115</v>
      </c>
      <c r="D13" s="295"/>
      <c r="E13" s="295"/>
      <c r="F13" s="57" t="s">
        <v>160</v>
      </c>
      <c r="G13" s="60"/>
      <c r="H13" s="77"/>
    </row>
    <row r="14" spans="1:8" ht="0.6" customHeight="1">
      <c r="A14" s="307"/>
      <c r="B14" s="307"/>
      <c r="C14" s="307"/>
      <c r="D14" s="307"/>
      <c r="E14" s="307"/>
      <c r="F14" s="307"/>
    </row>
    <row r="15" spans="1:8" ht="47.25" customHeight="1">
      <c r="A15" s="8"/>
      <c r="B15" s="308"/>
      <c r="C15" s="308"/>
      <c r="D15" s="308"/>
      <c r="E15" s="308"/>
      <c r="F15" s="308"/>
    </row>
  </sheetData>
  <mergeCells count="10">
    <mergeCell ref="A1:H1"/>
    <mergeCell ref="H2:H3"/>
    <mergeCell ref="G2:G3"/>
    <mergeCell ref="A14:F14"/>
    <mergeCell ref="B15:F15"/>
    <mergeCell ref="A2:A3"/>
    <mergeCell ref="B2:B3"/>
    <mergeCell ref="C2:D2"/>
    <mergeCell ref="E2:F2"/>
    <mergeCell ref="C13:E13"/>
  </mergeCells>
  <phoneticPr fontId="3" type="noConversion"/>
  <printOptions horizontalCentered="1"/>
  <pageMargins left="0" right="0" top="0" bottom="0" header="0" footer="0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FF0000"/>
    <pageSetUpPr fitToPage="1"/>
  </sheetPr>
  <dimension ref="A1:K198"/>
  <sheetViews>
    <sheetView tabSelected="1" topLeftCell="A70" workbookViewId="0">
      <selection activeCell="B107" sqref="B107"/>
    </sheetView>
  </sheetViews>
  <sheetFormatPr defaultColWidth="8.85546875" defaultRowHeight="12.75"/>
  <cols>
    <col min="1" max="1" width="6" style="86" customWidth="1"/>
    <col min="2" max="2" width="42.42578125" style="102" customWidth="1"/>
    <col min="3" max="3" width="22.42578125" style="102" customWidth="1"/>
    <col min="4" max="4" width="22.42578125" style="97" customWidth="1"/>
    <col min="5" max="5" width="22.42578125" style="85" customWidth="1"/>
    <col min="6" max="6" width="22.42578125" style="86" customWidth="1"/>
    <col min="7" max="7" width="21.85546875" style="86" customWidth="1"/>
    <col min="8" max="8" width="19" style="112" customWidth="1"/>
    <col min="9" max="9" width="21.28515625" style="101" customWidth="1"/>
    <col min="10" max="11" width="12.7109375" style="102" customWidth="1"/>
    <col min="12" max="16384" width="8.85546875" style="102"/>
  </cols>
  <sheetData>
    <row r="1" spans="1:11" ht="33" customHeight="1">
      <c r="A1" s="297" t="s">
        <v>195</v>
      </c>
      <c r="B1" s="297"/>
      <c r="C1" s="297"/>
      <c r="D1" s="297"/>
      <c r="E1" s="297"/>
      <c r="F1" s="297"/>
      <c r="G1" s="297"/>
      <c r="H1" s="297"/>
    </row>
    <row r="2" spans="1:11" ht="76.900000000000006" customHeight="1">
      <c r="A2" s="300" t="s">
        <v>96</v>
      </c>
      <c r="B2" s="300" t="s">
        <v>0</v>
      </c>
      <c r="C2" s="313" t="s">
        <v>206</v>
      </c>
      <c r="D2" s="314"/>
      <c r="E2" s="316" t="s">
        <v>197</v>
      </c>
      <c r="F2" s="316"/>
      <c r="G2" s="317" t="s">
        <v>107</v>
      </c>
      <c r="H2" s="315" t="s">
        <v>109</v>
      </c>
    </row>
    <row r="3" spans="1:11" ht="54.75" customHeight="1">
      <c r="A3" s="301"/>
      <c r="B3" s="301"/>
      <c r="C3" s="113" t="s">
        <v>94</v>
      </c>
      <c r="D3" s="114" t="s">
        <v>97</v>
      </c>
      <c r="E3" s="115" t="s">
        <v>94</v>
      </c>
      <c r="F3" s="116" t="s">
        <v>95</v>
      </c>
      <c r="G3" s="318"/>
      <c r="H3" s="315"/>
    </row>
    <row r="4" spans="1:11" ht="15" customHeight="1">
      <c r="A4" s="103">
        <v>1</v>
      </c>
      <c r="B4" s="29" t="s">
        <v>1</v>
      </c>
      <c r="C4" s="213">
        <f>'Баландина по Усовой'!C4</f>
        <v>30</v>
      </c>
      <c r="D4" s="96">
        <f>'Баландина по Усовой'!D4</f>
        <v>122765.56000000001</v>
      </c>
      <c r="E4" s="213">
        <f>Расход!E4</f>
        <v>39</v>
      </c>
      <c r="F4" s="80">
        <f>Расход!F4</f>
        <v>260165.71000000002</v>
      </c>
      <c r="G4" s="167">
        <f>ROUND(E4/C4,2)</f>
        <v>1.3</v>
      </c>
      <c r="H4" s="168">
        <f>ROUND(F4/D4,2)</f>
        <v>2.12</v>
      </c>
      <c r="J4" s="104"/>
      <c r="K4" s="104"/>
    </row>
    <row r="5" spans="1:11" ht="15" customHeight="1">
      <c r="A5" s="103">
        <v>2</v>
      </c>
      <c r="B5" s="29" t="s">
        <v>2</v>
      </c>
      <c r="C5" s="213">
        <f>'Баландина по Усовой'!C5</f>
        <v>12</v>
      </c>
      <c r="D5" s="96">
        <f>'Баландина по Усовой'!D5</f>
        <v>35002.160000000003</v>
      </c>
      <c r="E5" s="213">
        <f>Расход!E5</f>
        <v>1</v>
      </c>
      <c r="F5" s="80">
        <f>Расход!F5</f>
        <v>57936.37</v>
      </c>
      <c r="G5" s="167">
        <f t="shared" ref="G5:G21" si="0">ROUND(E5/C5,2)</f>
        <v>0.08</v>
      </c>
      <c r="H5" s="168">
        <f t="shared" ref="H5:H21" si="1">ROUND(F5/D5,2)</f>
        <v>1.66</v>
      </c>
      <c r="J5" s="104"/>
      <c r="K5" s="104"/>
    </row>
    <row r="6" spans="1:11" ht="15" customHeight="1">
      <c r="A6" s="103">
        <v>3</v>
      </c>
      <c r="B6" s="29" t="s">
        <v>3</v>
      </c>
      <c r="C6" s="213">
        <f>'Баландина по Усовой'!C6</f>
        <v>16</v>
      </c>
      <c r="D6" s="96">
        <f>'Баландина по Усовой'!D6</f>
        <v>116346.70000000001</v>
      </c>
      <c r="E6" s="213">
        <f>Расход!E6</f>
        <v>31</v>
      </c>
      <c r="F6" s="80">
        <f>Расход!F6</f>
        <v>117818.01999999999</v>
      </c>
      <c r="G6" s="167">
        <f t="shared" si="0"/>
        <v>1.94</v>
      </c>
      <c r="H6" s="168">
        <f t="shared" si="1"/>
        <v>1.01</v>
      </c>
      <c r="J6" s="104"/>
      <c r="K6" s="104"/>
    </row>
    <row r="7" spans="1:11" ht="15" customHeight="1">
      <c r="A7" s="103">
        <v>4</v>
      </c>
      <c r="B7" s="29" t="s">
        <v>4</v>
      </c>
      <c r="C7" s="213">
        <f>'Баландина по Усовой'!C7</f>
        <v>46</v>
      </c>
      <c r="D7" s="96">
        <f>'Баландина по Усовой'!D7</f>
        <v>243224.45</v>
      </c>
      <c r="E7" s="213">
        <f>Расход!E7</f>
        <v>228</v>
      </c>
      <c r="F7" s="80">
        <f>Расход!F7</f>
        <v>7376014.6200000001</v>
      </c>
      <c r="G7" s="167">
        <f t="shared" si="0"/>
        <v>4.96</v>
      </c>
      <c r="H7" s="168">
        <f t="shared" si="1"/>
        <v>30.33</v>
      </c>
      <c r="J7" s="104"/>
      <c r="K7" s="104"/>
    </row>
    <row r="8" spans="1:11" ht="15" customHeight="1">
      <c r="A8" s="103">
        <v>5</v>
      </c>
      <c r="B8" s="29" t="s">
        <v>5</v>
      </c>
      <c r="C8" s="213">
        <f>'Баландина по Усовой'!C8</f>
        <v>1357</v>
      </c>
      <c r="D8" s="96">
        <f>'Баландина по Усовой'!D8</f>
        <v>4912212.1899999995</v>
      </c>
      <c r="E8" s="213">
        <f>Расход!E8</f>
        <v>1975</v>
      </c>
      <c r="F8" s="80">
        <f>Расход!F8</f>
        <v>107142173.73</v>
      </c>
      <c r="G8" s="167">
        <f t="shared" si="0"/>
        <v>1.46</v>
      </c>
      <c r="H8" s="168">
        <f t="shared" si="1"/>
        <v>21.81</v>
      </c>
      <c r="J8" s="104"/>
      <c r="K8" s="104"/>
    </row>
    <row r="9" spans="1:11" ht="15" customHeight="1">
      <c r="A9" s="103">
        <v>6</v>
      </c>
      <c r="B9" s="29" t="s">
        <v>6</v>
      </c>
      <c r="C9" s="213">
        <f>'Баландина по Усовой'!C9</f>
        <v>13</v>
      </c>
      <c r="D9" s="96">
        <f>'Баландина по Усовой'!D9</f>
        <v>155083.36000000002</v>
      </c>
      <c r="E9" s="213">
        <f>Расход!E9</f>
        <v>7</v>
      </c>
      <c r="F9" s="80">
        <f>Расход!F9</f>
        <v>149531.07999999999</v>
      </c>
      <c r="G9" s="167">
        <f t="shared" si="0"/>
        <v>0.54</v>
      </c>
      <c r="H9" s="168">
        <f t="shared" si="1"/>
        <v>0.96</v>
      </c>
      <c r="J9" s="104"/>
      <c r="K9" s="104"/>
    </row>
    <row r="10" spans="1:11" ht="15" customHeight="1">
      <c r="A10" s="103">
        <v>7</v>
      </c>
      <c r="B10" s="29" t="s">
        <v>7</v>
      </c>
      <c r="C10" s="213">
        <f>'Баландина по Усовой'!C10</f>
        <v>8</v>
      </c>
      <c r="D10" s="96">
        <f>'Баландина по Усовой'!D10</f>
        <v>26504.239999999998</v>
      </c>
      <c r="E10" s="213">
        <f>Расход!E10</f>
        <v>74</v>
      </c>
      <c r="F10" s="80">
        <f>Расход!F10</f>
        <v>843337.15</v>
      </c>
      <c r="G10" s="167">
        <f t="shared" si="0"/>
        <v>9.25</v>
      </c>
      <c r="H10" s="168">
        <f t="shared" si="1"/>
        <v>31.82</v>
      </c>
      <c r="J10" s="104"/>
      <c r="K10" s="104"/>
    </row>
    <row r="11" spans="1:11" ht="15" customHeight="1">
      <c r="A11" s="103">
        <v>8</v>
      </c>
      <c r="B11" s="29" t="s">
        <v>8</v>
      </c>
      <c r="C11" s="213">
        <f>'Баландина по Усовой'!C11</f>
        <v>5</v>
      </c>
      <c r="D11" s="96">
        <f>'Баландина по Усовой'!D11</f>
        <v>17541.330000000002</v>
      </c>
      <c r="E11" s="213">
        <f>Расход!E11</f>
        <v>5</v>
      </c>
      <c r="F11" s="80">
        <f>Расход!F11</f>
        <v>28700.61</v>
      </c>
      <c r="G11" s="167">
        <f>ROUND(E11/C11,2)</f>
        <v>1</v>
      </c>
      <c r="H11" s="168">
        <f t="shared" si="1"/>
        <v>1.64</v>
      </c>
      <c r="J11" s="104"/>
      <c r="K11" s="104"/>
    </row>
    <row r="12" spans="1:11" ht="15" customHeight="1">
      <c r="A12" s="103">
        <v>9</v>
      </c>
      <c r="B12" s="29" t="s">
        <v>9</v>
      </c>
      <c r="C12" s="213">
        <f>'Баландина по Усовой'!C12</f>
        <v>12</v>
      </c>
      <c r="D12" s="96">
        <f>'Баландина по Усовой'!D12</f>
        <v>132055.75</v>
      </c>
      <c r="E12" s="213">
        <f>Расход!E12</f>
        <v>22</v>
      </c>
      <c r="F12" s="80">
        <f>Расход!F12</f>
        <v>102889.76000000001</v>
      </c>
      <c r="G12" s="167">
        <f>ROUND(E12/C12,2)</f>
        <v>1.83</v>
      </c>
      <c r="H12" s="168">
        <f t="shared" si="1"/>
        <v>0.78</v>
      </c>
      <c r="J12" s="104"/>
      <c r="K12" s="104"/>
    </row>
    <row r="13" spans="1:11" ht="15" customHeight="1">
      <c r="A13" s="103">
        <v>10</v>
      </c>
      <c r="B13" s="29" t="s">
        <v>10</v>
      </c>
      <c r="C13" s="213">
        <f>'Баландина по Усовой'!C13</f>
        <v>71</v>
      </c>
      <c r="D13" s="96">
        <f>'Баландина по Усовой'!D13</f>
        <v>1009761.5</v>
      </c>
      <c r="E13" s="213">
        <f>Расход!E13</f>
        <v>8</v>
      </c>
      <c r="F13" s="80">
        <f>Расход!F13</f>
        <v>105535.53</v>
      </c>
      <c r="G13" s="167">
        <f t="shared" si="0"/>
        <v>0.11</v>
      </c>
      <c r="H13" s="168">
        <f t="shared" si="1"/>
        <v>0.1</v>
      </c>
      <c r="J13" s="104"/>
      <c r="K13" s="104"/>
    </row>
    <row r="14" spans="1:11" ht="15" customHeight="1">
      <c r="A14" s="103">
        <v>11</v>
      </c>
      <c r="B14" s="29" t="s">
        <v>11</v>
      </c>
      <c r="C14" s="213">
        <f>'Баландина по Усовой'!C14</f>
        <v>792</v>
      </c>
      <c r="D14" s="96">
        <f>'Баландина по Усовой'!D14</f>
        <v>2101390.94</v>
      </c>
      <c r="E14" s="213">
        <f>Расход!E14</f>
        <v>1162</v>
      </c>
      <c r="F14" s="80">
        <f>Расход!F14</f>
        <v>35017994</v>
      </c>
      <c r="G14" s="167">
        <f t="shared" si="0"/>
        <v>1.47</v>
      </c>
      <c r="H14" s="168">
        <f t="shared" si="1"/>
        <v>16.66</v>
      </c>
      <c r="J14" s="104"/>
      <c r="K14" s="104"/>
    </row>
    <row r="15" spans="1:11" ht="15" customHeight="1">
      <c r="A15" s="103">
        <v>12</v>
      </c>
      <c r="B15" s="29" t="s">
        <v>12</v>
      </c>
      <c r="C15" s="213">
        <f>'Баландина по Усовой'!C15</f>
        <v>13</v>
      </c>
      <c r="D15" s="96">
        <f>'Баландина по Усовой'!D15</f>
        <v>225757.28000000003</v>
      </c>
      <c r="E15" s="213">
        <f>Расход!E15</f>
        <v>8</v>
      </c>
      <c r="F15" s="80">
        <f>Расход!F15</f>
        <v>119711.93</v>
      </c>
      <c r="G15" s="167">
        <f t="shared" si="0"/>
        <v>0.62</v>
      </c>
      <c r="H15" s="168">
        <f t="shared" si="1"/>
        <v>0.53</v>
      </c>
      <c r="J15" s="104"/>
      <c r="K15" s="104"/>
    </row>
    <row r="16" spans="1:11" ht="15" customHeight="1">
      <c r="A16" s="103">
        <v>13</v>
      </c>
      <c r="B16" s="29" t="s">
        <v>13</v>
      </c>
      <c r="C16" s="213">
        <f>'Баландина по Усовой'!C16</f>
        <v>75</v>
      </c>
      <c r="D16" s="96">
        <f>'Баландина по Усовой'!D16</f>
        <v>260486.63</v>
      </c>
      <c r="E16" s="213">
        <f>Расход!E16</f>
        <v>32</v>
      </c>
      <c r="F16" s="80">
        <f>Расход!F16</f>
        <v>547483.76</v>
      </c>
      <c r="G16" s="167">
        <f t="shared" si="0"/>
        <v>0.43</v>
      </c>
      <c r="H16" s="168">
        <f t="shared" si="1"/>
        <v>2.1</v>
      </c>
      <c r="J16" s="104"/>
      <c r="K16" s="104"/>
    </row>
    <row r="17" spans="1:11" ht="15" customHeight="1">
      <c r="A17" s="103">
        <v>14</v>
      </c>
      <c r="B17" s="29" t="s">
        <v>14</v>
      </c>
      <c r="C17" s="213">
        <f>'Баландина по Усовой'!C17</f>
        <v>9</v>
      </c>
      <c r="D17" s="96">
        <f>'Баландина по Усовой'!D17</f>
        <v>73909.710000000006</v>
      </c>
      <c r="E17" s="213">
        <f>Расход!E17</f>
        <v>0</v>
      </c>
      <c r="F17" s="80">
        <f>Расход!F17</f>
        <v>0</v>
      </c>
      <c r="G17" s="167">
        <f t="shared" si="0"/>
        <v>0</v>
      </c>
      <c r="H17" s="168">
        <f t="shared" si="1"/>
        <v>0</v>
      </c>
      <c r="J17" s="104"/>
      <c r="K17" s="104"/>
    </row>
    <row r="18" spans="1:11" ht="15" customHeight="1">
      <c r="A18" s="103">
        <v>15</v>
      </c>
      <c r="B18" s="29" t="s">
        <v>15</v>
      </c>
      <c r="C18" s="213">
        <f>'Баландина по Усовой'!C18</f>
        <v>348</v>
      </c>
      <c r="D18" s="96">
        <f>'Баландина по Усовой'!D18</f>
        <v>2261108.36</v>
      </c>
      <c r="E18" s="213">
        <f>Расход!E18</f>
        <v>122</v>
      </c>
      <c r="F18" s="80">
        <f>Расход!F18</f>
        <v>521205.49</v>
      </c>
      <c r="G18" s="167">
        <f t="shared" si="0"/>
        <v>0.35</v>
      </c>
      <c r="H18" s="168">
        <f t="shared" si="1"/>
        <v>0.23</v>
      </c>
      <c r="J18" s="104"/>
      <c r="K18" s="104"/>
    </row>
    <row r="19" spans="1:11" ht="15" customHeight="1">
      <c r="A19" s="103">
        <v>16</v>
      </c>
      <c r="B19" s="29" t="s">
        <v>16</v>
      </c>
      <c r="C19" s="213">
        <f>'Баландина по Усовой'!C19</f>
        <v>11</v>
      </c>
      <c r="D19" s="96">
        <f>'Баландина по Усовой'!D19</f>
        <v>139168.1</v>
      </c>
      <c r="E19" s="213">
        <f>Расход!E19</f>
        <v>35</v>
      </c>
      <c r="F19" s="80">
        <f>Расход!F19</f>
        <v>208072.56</v>
      </c>
      <c r="G19" s="167">
        <f t="shared" si="0"/>
        <v>3.18</v>
      </c>
      <c r="H19" s="168">
        <f t="shared" si="1"/>
        <v>1.5</v>
      </c>
      <c r="J19" s="104"/>
      <c r="K19" s="104"/>
    </row>
    <row r="20" spans="1:11" ht="15" customHeight="1">
      <c r="A20" s="103">
        <v>17</v>
      </c>
      <c r="B20" s="29" t="s">
        <v>17</v>
      </c>
      <c r="C20" s="213">
        <f>'Баландина по Усовой'!C20</f>
        <v>13</v>
      </c>
      <c r="D20" s="96">
        <f>'Баландина по Усовой'!D20</f>
        <v>119732.51999999999</v>
      </c>
      <c r="E20" s="213">
        <f>Расход!E20</f>
        <v>46</v>
      </c>
      <c r="F20" s="80">
        <f>Расход!F20</f>
        <v>243535.95999999996</v>
      </c>
      <c r="G20" s="167">
        <f t="shared" si="0"/>
        <v>3.54</v>
      </c>
      <c r="H20" s="168">
        <f t="shared" si="1"/>
        <v>2.0299999999999998</v>
      </c>
      <c r="J20" s="104"/>
      <c r="K20" s="104"/>
    </row>
    <row r="21" spans="1:11" ht="15" customHeight="1">
      <c r="A21" s="103">
        <v>18</v>
      </c>
      <c r="B21" s="29" t="s">
        <v>18</v>
      </c>
      <c r="C21" s="213">
        <f>'Баландина по Усовой'!C21</f>
        <v>8</v>
      </c>
      <c r="D21" s="96">
        <f>'Баландина по Усовой'!D21</f>
        <v>208705.26</v>
      </c>
      <c r="E21" s="213">
        <f>Расход!E21</f>
        <v>9</v>
      </c>
      <c r="F21" s="80">
        <f>Расход!F21</f>
        <v>55918.78</v>
      </c>
      <c r="G21" s="167">
        <f t="shared" si="0"/>
        <v>1.1299999999999999</v>
      </c>
      <c r="H21" s="168">
        <f t="shared" si="1"/>
        <v>0.27</v>
      </c>
      <c r="J21" s="104"/>
      <c r="K21" s="104"/>
    </row>
    <row r="22" spans="1:11" ht="15" customHeight="1">
      <c r="A22" s="105"/>
      <c r="B22" s="19" t="s">
        <v>19</v>
      </c>
      <c r="C22" s="217">
        <f>SUM(C4:C21)</f>
        <v>2839</v>
      </c>
      <c r="D22" s="100">
        <f>SUM(D4:D21)</f>
        <v>12160756.039999999</v>
      </c>
      <c r="E22" s="215">
        <f>Расход!E22</f>
        <v>3804</v>
      </c>
      <c r="F22" s="66">
        <f>SUM(F4:F21)</f>
        <v>152898025.06000003</v>
      </c>
      <c r="G22" s="163">
        <f>E22/C22</f>
        <v>1.3399084184572032</v>
      </c>
      <c r="H22" s="164">
        <f>F22/D22</f>
        <v>12.573069022771058</v>
      </c>
      <c r="J22" s="104"/>
      <c r="K22" s="104"/>
    </row>
    <row r="23" spans="1:11" ht="15" customHeight="1">
      <c r="A23" s="103">
        <v>19</v>
      </c>
      <c r="B23" s="29" t="s">
        <v>20</v>
      </c>
      <c r="C23" s="213">
        <f>'Баландина по Усовой'!C23</f>
        <v>11</v>
      </c>
      <c r="D23" s="96">
        <f>'Баландина по Усовой'!D23</f>
        <v>45472.45</v>
      </c>
      <c r="E23" s="213">
        <f>Расход!E23</f>
        <v>7</v>
      </c>
      <c r="F23" s="80">
        <f>Расход!F23</f>
        <v>30745.41</v>
      </c>
      <c r="G23" s="167">
        <f t="shared" ref="G23:G33" si="2">E23/C23</f>
        <v>0.63636363636363635</v>
      </c>
      <c r="H23" s="168">
        <f t="shared" ref="H23:H33" si="3">F23/D23</f>
        <v>0.67613269133288401</v>
      </c>
      <c r="J23" s="104"/>
      <c r="K23" s="104"/>
    </row>
    <row r="24" spans="1:11" ht="15" customHeight="1">
      <c r="A24" s="103">
        <v>20</v>
      </c>
      <c r="B24" s="29" t="s">
        <v>21</v>
      </c>
      <c r="C24" s="213">
        <f>'Баландина по Усовой'!C24</f>
        <v>3</v>
      </c>
      <c r="D24" s="96">
        <f>'Баландина по Усовой'!D24</f>
        <v>7848.04</v>
      </c>
      <c r="E24" s="213">
        <f>Расход!E24</f>
        <v>14</v>
      </c>
      <c r="F24" s="80">
        <f>Расход!F24</f>
        <v>22706.04</v>
      </c>
      <c r="G24" s="167">
        <f t="shared" si="2"/>
        <v>4.666666666666667</v>
      </c>
      <c r="H24" s="168">
        <f t="shared" si="3"/>
        <v>2.8932115534579337</v>
      </c>
      <c r="J24" s="104"/>
      <c r="K24" s="104"/>
    </row>
    <row r="25" spans="1:11" ht="15" customHeight="1">
      <c r="A25" s="103">
        <v>21</v>
      </c>
      <c r="B25" s="29" t="s">
        <v>22</v>
      </c>
      <c r="C25" s="213">
        <f>'Баландина по Усовой'!C25</f>
        <v>201</v>
      </c>
      <c r="D25" s="96">
        <f>'Баландина по Усовой'!D25</f>
        <v>1007273.76</v>
      </c>
      <c r="E25" s="213">
        <f>Расход!E25</f>
        <v>391</v>
      </c>
      <c r="F25" s="80">
        <f>Расход!F25</f>
        <v>13485694.41</v>
      </c>
      <c r="G25" s="167">
        <f t="shared" si="2"/>
        <v>1.9452736318407959</v>
      </c>
      <c r="H25" s="168">
        <f t="shared" si="3"/>
        <v>13.388311048626939</v>
      </c>
      <c r="J25" s="104"/>
      <c r="K25" s="104"/>
    </row>
    <row r="26" spans="1:11" ht="15" customHeight="1">
      <c r="A26" s="103">
        <v>22</v>
      </c>
      <c r="B26" s="29" t="s">
        <v>23</v>
      </c>
      <c r="C26" s="213">
        <f>'Баландина по Усовой'!C26</f>
        <v>11</v>
      </c>
      <c r="D26" s="96">
        <f>'Баландина по Усовой'!D26</f>
        <v>103233.69</v>
      </c>
      <c r="E26" s="213">
        <f>Расход!E26</f>
        <v>4</v>
      </c>
      <c r="F26" s="80">
        <f>Расход!F26</f>
        <v>12815.81</v>
      </c>
      <c r="G26" s="167">
        <f t="shared" si="2"/>
        <v>0.36363636363636365</v>
      </c>
      <c r="H26" s="168">
        <f t="shared" si="3"/>
        <v>0.12414367828951962</v>
      </c>
      <c r="J26" s="104"/>
      <c r="K26" s="104"/>
    </row>
    <row r="27" spans="1:11" ht="15" customHeight="1">
      <c r="A27" s="103">
        <v>23</v>
      </c>
      <c r="B27" s="29" t="s">
        <v>24</v>
      </c>
      <c r="C27" s="213">
        <f>'Баландина по Усовой'!C27</f>
        <v>32</v>
      </c>
      <c r="D27" s="96">
        <f>'Баландина по Усовой'!D27</f>
        <v>115931.94</v>
      </c>
      <c r="E27" s="213">
        <f>Расход!E27</f>
        <v>41</v>
      </c>
      <c r="F27" s="80">
        <f>Расход!F27</f>
        <v>339811.52999999997</v>
      </c>
      <c r="G27" s="167">
        <f t="shared" si="2"/>
        <v>1.28125</v>
      </c>
      <c r="H27" s="168">
        <f t="shared" si="3"/>
        <v>2.9311295058117715</v>
      </c>
      <c r="J27" s="104"/>
      <c r="K27" s="104"/>
    </row>
    <row r="28" spans="1:11" ht="15" customHeight="1">
      <c r="A28" s="103">
        <v>24</v>
      </c>
      <c r="B28" s="29" t="s">
        <v>25</v>
      </c>
      <c r="C28" s="213">
        <f>'Баландина по Усовой'!C28</f>
        <v>54</v>
      </c>
      <c r="D28" s="96">
        <f>'Баландина по Усовой'!D28</f>
        <v>383908.06</v>
      </c>
      <c r="E28" s="213">
        <f>Расход!E28</f>
        <v>12</v>
      </c>
      <c r="F28" s="80">
        <f>Расход!F28</f>
        <v>34953.56</v>
      </c>
      <c r="G28" s="167">
        <f t="shared" si="2"/>
        <v>0.22222222222222221</v>
      </c>
      <c r="H28" s="168">
        <f t="shared" si="3"/>
        <v>9.1046694877935097E-2</v>
      </c>
      <c r="J28" s="104"/>
      <c r="K28" s="104"/>
    </row>
    <row r="29" spans="1:11" ht="15" customHeight="1">
      <c r="A29" s="103">
        <v>25</v>
      </c>
      <c r="B29" s="29" t="s">
        <v>26</v>
      </c>
      <c r="C29" s="213">
        <f>'Баландина по Усовой'!C29</f>
        <v>1</v>
      </c>
      <c r="D29" s="96">
        <f>'Баландина по Усовой'!D29</f>
        <v>779.27</v>
      </c>
      <c r="E29" s="213">
        <f>Расход!E29</f>
        <v>0</v>
      </c>
      <c r="F29" s="80">
        <f>Расход!F29</f>
        <v>0</v>
      </c>
      <c r="G29" s="167">
        <f t="shared" si="2"/>
        <v>0</v>
      </c>
      <c r="H29" s="168">
        <f t="shared" si="3"/>
        <v>0</v>
      </c>
      <c r="J29" s="104"/>
      <c r="K29" s="104"/>
    </row>
    <row r="30" spans="1:11" ht="15" customHeight="1">
      <c r="A30" s="103">
        <v>26</v>
      </c>
      <c r="B30" s="29" t="s">
        <v>27</v>
      </c>
      <c r="C30" s="213">
        <f>'Баландина по Усовой'!C30</f>
        <v>5</v>
      </c>
      <c r="D30" s="96">
        <f>'Баландина по Усовой'!D30</f>
        <v>1655.9</v>
      </c>
      <c r="E30" s="213">
        <f>Расход!E30</f>
        <v>8</v>
      </c>
      <c r="F30" s="80">
        <f>Расход!F30</f>
        <v>128890.91</v>
      </c>
      <c r="G30" s="167">
        <f t="shared" si="2"/>
        <v>1.6</v>
      </c>
      <c r="H30" s="168">
        <f t="shared" si="3"/>
        <v>77.837375445377134</v>
      </c>
      <c r="J30" s="104"/>
      <c r="K30" s="104"/>
    </row>
    <row r="31" spans="1:11" ht="15" customHeight="1">
      <c r="A31" s="103">
        <v>27</v>
      </c>
      <c r="B31" s="29" t="s">
        <v>28</v>
      </c>
      <c r="C31" s="213">
        <f>'Баландина по Усовой'!C31</f>
        <v>10</v>
      </c>
      <c r="D31" s="96">
        <f>'Баландина по Усовой'!D31</f>
        <v>23771.72</v>
      </c>
      <c r="E31" s="213">
        <f>Расход!E31</f>
        <v>3</v>
      </c>
      <c r="F31" s="80">
        <f>Расход!F31</f>
        <v>38120.83</v>
      </c>
      <c r="G31" s="167">
        <f t="shared" si="2"/>
        <v>0.3</v>
      </c>
      <c r="H31" s="168">
        <f t="shared" si="3"/>
        <v>1.6036210253191607</v>
      </c>
      <c r="J31" s="104"/>
      <c r="K31" s="104"/>
    </row>
    <row r="32" spans="1:11" ht="15" customHeight="1">
      <c r="A32" s="103">
        <v>28</v>
      </c>
      <c r="B32" s="29" t="s">
        <v>29</v>
      </c>
      <c r="C32" s="213">
        <f>'Баландина по Усовой'!C32</f>
        <v>4</v>
      </c>
      <c r="D32" s="96">
        <f>'Баландина по Усовой'!D32</f>
        <v>3226.9300000000003</v>
      </c>
      <c r="E32" s="213">
        <f>Расход!E32</f>
        <v>3</v>
      </c>
      <c r="F32" s="80">
        <f>Расход!F32</f>
        <v>4264.99</v>
      </c>
      <c r="G32" s="167">
        <f t="shared" si="2"/>
        <v>0.75</v>
      </c>
      <c r="H32" s="168">
        <f t="shared" si="3"/>
        <v>1.3216865565723457</v>
      </c>
      <c r="J32" s="104"/>
      <c r="K32" s="104"/>
    </row>
    <row r="33" spans="1:11" ht="15" customHeight="1">
      <c r="A33" s="103">
        <v>29</v>
      </c>
      <c r="B33" s="29" t="s">
        <v>30</v>
      </c>
      <c r="C33" s="213">
        <f>'Баландина по Усовой'!C33</f>
        <v>16</v>
      </c>
      <c r="D33" s="96">
        <f>'Баландина по Усовой'!D33</f>
        <v>73411.040000000008</v>
      </c>
      <c r="E33" s="213">
        <f>Расход!E33</f>
        <v>14</v>
      </c>
      <c r="F33" s="80">
        <f>Расход!F33</f>
        <v>63218.479999999996</v>
      </c>
      <c r="G33" s="167">
        <f t="shared" si="2"/>
        <v>0.875</v>
      </c>
      <c r="H33" s="168">
        <f t="shared" si="3"/>
        <v>0.86115766783851566</v>
      </c>
      <c r="J33" s="104"/>
      <c r="K33" s="104"/>
    </row>
    <row r="34" spans="1:11" ht="15" customHeight="1">
      <c r="A34" s="105"/>
      <c r="B34" s="19" t="s">
        <v>31</v>
      </c>
      <c r="C34" s="217">
        <f>SUM(C23:C33)</f>
        <v>348</v>
      </c>
      <c r="D34" s="100">
        <f>SUM(D23:D33)</f>
        <v>1766512.7999999998</v>
      </c>
      <c r="E34" s="215">
        <f>Расход!E34</f>
        <v>497</v>
      </c>
      <c r="F34" s="66">
        <f>SUM(F23:F33)</f>
        <v>14161221.970000001</v>
      </c>
      <c r="G34" s="163">
        <f>E34/C34</f>
        <v>1.4281609195402298</v>
      </c>
      <c r="H34" s="164">
        <f>F34/D34</f>
        <v>8.016484211153184</v>
      </c>
      <c r="J34" s="104"/>
      <c r="K34" s="104"/>
    </row>
    <row r="35" spans="1:11" ht="15" customHeight="1">
      <c r="A35" s="103">
        <v>30</v>
      </c>
      <c r="B35" s="29" t="s">
        <v>32</v>
      </c>
      <c r="C35" s="213">
        <f>'Баландина по Усовой'!C35</f>
        <v>32</v>
      </c>
      <c r="D35" s="96">
        <f>'Баландина по Усовой'!D35</f>
        <v>289095.63</v>
      </c>
      <c r="E35" s="213">
        <f>Расход!E35</f>
        <v>7</v>
      </c>
      <c r="F35" s="80">
        <f>Расход!F35</f>
        <v>49605.259999999995</v>
      </c>
      <c r="G35" s="167">
        <f t="shared" ref="G35:G45" si="4">E35/C35</f>
        <v>0.21875</v>
      </c>
      <c r="H35" s="168">
        <f t="shared" ref="H35:H42" si="5">F35/D35</f>
        <v>0.17158771995273672</v>
      </c>
      <c r="J35" s="104"/>
      <c r="K35" s="104"/>
    </row>
    <row r="36" spans="1:11" ht="15" customHeight="1">
      <c r="A36" s="103">
        <v>31</v>
      </c>
      <c r="B36" s="29" t="s">
        <v>33</v>
      </c>
      <c r="C36" s="213">
        <f>'Баландина по Усовой'!C36</f>
        <v>69</v>
      </c>
      <c r="D36" s="96">
        <f>'Баландина по Усовой'!D36</f>
        <v>933428.22</v>
      </c>
      <c r="E36" s="213">
        <f>Расход!E36</f>
        <v>74</v>
      </c>
      <c r="F36" s="80">
        <f>Расход!F36</f>
        <v>286240</v>
      </c>
      <c r="G36" s="167">
        <f t="shared" si="4"/>
        <v>1.0724637681159421</v>
      </c>
      <c r="H36" s="168">
        <f t="shared" si="5"/>
        <v>0.30665453847109958</v>
      </c>
      <c r="J36" s="104"/>
      <c r="K36" s="104"/>
    </row>
    <row r="37" spans="1:11" ht="15" customHeight="1">
      <c r="A37" s="103">
        <v>32</v>
      </c>
      <c r="B37" s="106" t="s">
        <v>34</v>
      </c>
      <c r="C37" s="213">
        <f>'Баландина по Усовой'!C37</f>
        <v>109</v>
      </c>
      <c r="D37" s="96">
        <f>'Баландина по Усовой'!D37</f>
        <v>761707.10000000009</v>
      </c>
      <c r="E37" s="213">
        <f>Расход!E37</f>
        <v>188</v>
      </c>
      <c r="F37" s="80">
        <f>Расход!F37</f>
        <v>1221707.23</v>
      </c>
      <c r="G37" s="167">
        <f t="shared" si="4"/>
        <v>1.724770642201835</v>
      </c>
      <c r="H37" s="168">
        <f t="shared" si="5"/>
        <v>1.6039068429321452</v>
      </c>
      <c r="J37" s="104"/>
      <c r="K37" s="104"/>
    </row>
    <row r="38" spans="1:11" ht="15" customHeight="1">
      <c r="A38" s="103">
        <v>33</v>
      </c>
      <c r="B38" s="106" t="s">
        <v>35</v>
      </c>
      <c r="C38" s="213">
        <f>'Баландина по Усовой'!C38</f>
        <v>3</v>
      </c>
      <c r="D38" s="96">
        <f>'Баландина по Усовой'!D38</f>
        <v>63656.75</v>
      </c>
      <c r="E38" s="213">
        <f>Расход!E38</f>
        <v>5</v>
      </c>
      <c r="F38" s="80">
        <f>Расход!F38</f>
        <v>13776.230000000001</v>
      </c>
      <c r="G38" s="167">
        <f t="shared" si="4"/>
        <v>1.6666666666666667</v>
      </c>
      <c r="H38" s="168">
        <f t="shared" si="5"/>
        <v>0.2164142844238828</v>
      </c>
      <c r="J38" s="104"/>
      <c r="K38" s="104"/>
    </row>
    <row r="39" spans="1:11" ht="15" customHeight="1">
      <c r="A39" s="103">
        <v>34</v>
      </c>
      <c r="B39" s="106" t="s">
        <v>36</v>
      </c>
      <c r="C39" s="213">
        <f>'Баландина по Усовой'!C39</f>
        <v>1</v>
      </c>
      <c r="D39" s="96">
        <f>'Баландина по Усовой'!D39</f>
        <v>0</v>
      </c>
      <c r="E39" s="213">
        <f>Расход!E39</f>
        <v>1</v>
      </c>
      <c r="F39" s="80">
        <f>Расход!F39</f>
        <v>5025.8500000000004</v>
      </c>
      <c r="G39" s="167">
        <f t="shared" si="4"/>
        <v>1</v>
      </c>
      <c r="H39" s="168" t="e">
        <f t="shared" si="5"/>
        <v>#DIV/0!</v>
      </c>
      <c r="J39" s="104"/>
      <c r="K39" s="104"/>
    </row>
    <row r="40" spans="1:11" ht="15" customHeight="1">
      <c r="A40" s="103">
        <v>35</v>
      </c>
      <c r="B40" s="106" t="s">
        <v>37</v>
      </c>
      <c r="C40" s="213">
        <f>'Баландина по Усовой'!C40</f>
        <v>65</v>
      </c>
      <c r="D40" s="96">
        <f>'Баландина по Усовой'!D40</f>
        <v>455091.76</v>
      </c>
      <c r="E40" s="213">
        <f>Расход!E40</f>
        <v>28</v>
      </c>
      <c r="F40" s="80">
        <f>Расход!F40</f>
        <v>75433.27</v>
      </c>
      <c r="G40" s="167">
        <f t="shared" si="4"/>
        <v>0.43076923076923079</v>
      </c>
      <c r="H40" s="168">
        <f t="shared" si="5"/>
        <v>0.16575397893383084</v>
      </c>
      <c r="J40" s="104"/>
      <c r="K40" s="104"/>
    </row>
    <row r="41" spans="1:11" ht="15" customHeight="1">
      <c r="A41" s="103">
        <v>36</v>
      </c>
      <c r="B41" s="107" t="s">
        <v>102</v>
      </c>
      <c r="C41" s="213">
        <f>'Баландина по Усовой'!C41</f>
        <v>20</v>
      </c>
      <c r="D41" s="96">
        <f>'Баландина по Усовой'!D41</f>
        <v>51010.159999999996</v>
      </c>
      <c r="E41" s="213">
        <f>Расход!E41</f>
        <v>24</v>
      </c>
      <c r="F41" s="80">
        <f>Расход!F41</f>
        <v>415219.35</v>
      </c>
      <c r="G41" s="167">
        <f t="shared" si="4"/>
        <v>1.2</v>
      </c>
      <c r="H41" s="168">
        <f t="shared" si="5"/>
        <v>8.1399342797591689</v>
      </c>
      <c r="J41" s="104"/>
      <c r="K41" s="104"/>
    </row>
    <row r="42" spans="1:11" ht="13.9" customHeight="1">
      <c r="A42" s="103">
        <v>37</v>
      </c>
      <c r="B42" s="107" t="s">
        <v>103</v>
      </c>
      <c r="C42" s="213">
        <f>'Баландина по Усовой'!C42</f>
        <v>7</v>
      </c>
      <c r="D42" s="96">
        <f>'Баландина по Усовой'!D42</f>
        <v>71521.31</v>
      </c>
      <c r="E42" s="213">
        <f>Расход!E42</f>
        <v>1</v>
      </c>
      <c r="F42" s="80">
        <f>Расход!F42</f>
        <v>4324.2</v>
      </c>
      <c r="G42" s="167">
        <f t="shared" si="4"/>
        <v>0.14285714285714285</v>
      </c>
      <c r="H42" s="168">
        <f t="shared" si="5"/>
        <v>6.0460301971538274E-2</v>
      </c>
      <c r="J42" s="104"/>
      <c r="K42" s="104"/>
    </row>
    <row r="43" spans="1:11" ht="15" customHeight="1">
      <c r="A43" s="103">
        <v>38</v>
      </c>
      <c r="B43" s="17" t="s">
        <v>155</v>
      </c>
      <c r="C43" s="214">
        <f>'Баландина по Усовой'!C43</f>
        <v>8</v>
      </c>
      <c r="D43" s="253">
        <f>'Баландина по Усовой'!D43</f>
        <v>0</v>
      </c>
      <c r="E43" s="214">
        <f>'Баландина по Усовой'!E43</f>
        <v>62</v>
      </c>
      <c r="F43" s="80">
        <f>'Баландина по Усовой'!F43</f>
        <v>341149.6</v>
      </c>
      <c r="G43" s="167">
        <f t="shared" si="4"/>
        <v>7.75</v>
      </c>
      <c r="H43" s="168" t="s">
        <v>114</v>
      </c>
      <c r="J43" s="104"/>
      <c r="K43" s="104"/>
    </row>
    <row r="44" spans="1:11" ht="15" customHeight="1">
      <c r="A44" s="103">
        <v>39</v>
      </c>
      <c r="B44" s="17" t="s">
        <v>157</v>
      </c>
      <c r="C44" s="214">
        <f>'Баландина по Усовой'!C44</f>
        <v>2</v>
      </c>
      <c r="D44" s="253">
        <f>'Баландина по Усовой'!D44</f>
        <v>0</v>
      </c>
      <c r="E44" s="214">
        <f>'Баландина по Усовой'!E44</f>
        <v>0</v>
      </c>
      <c r="F44" s="80">
        <f>'Баландина по Усовой'!F44</f>
        <v>0</v>
      </c>
      <c r="G44" s="167">
        <f t="shared" si="4"/>
        <v>0</v>
      </c>
      <c r="H44" s="168" t="s">
        <v>114</v>
      </c>
      <c r="J44" s="104"/>
      <c r="K44" s="104"/>
    </row>
    <row r="45" spans="1:11" ht="15" customHeight="1">
      <c r="A45" s="103">
        <v>40</v>
      </c>
      <c r="B45" s="17" t="s">
        <v>156</v>
      </c>
      <c r="C45" s="214">
        <f>'Баландина по Усовой'!C45</f>
        <v>4</v>
      </c>
      <c r="D45" s="253">
        <f>'Баландина по Усовой'!D45</f>
        <v>0</v>
      </c>
      <c r="E45" s="214">
        <f>'Баландина по Усовой'!E45</f>
        <v>11</v>
      </c>
      <c r="F45" s="80">
        <f>'Баландина по Усовой'!F45</f>
        <v>104392.7</v>
      </c>
      <c r="G45" s="167">
        <f t="shared" si="4"/>
        <v>2.75</v>
      </c>
      <c r="H45" s="168" t="s">
        <v>114</v>
      </c>
      <c r="J45" s="104"/>
      <c r="K45" s="104"/>
    </row>
    <row r="46" spans="1:11" ht="15" customHeight="1">
      <c r="A46" s="103">
        <v>41</v>
      </c>
      <c r="B46" s="17" t="s">
        <v>158</v>
      </c>
      <c r="C46" s="214">
        <f>'Баландина по Усовой'!C46</f>
        <v>0</v>
      </c>
      <c r="D46" s="162">
        <f>'Баландина по Усовой'!D46</f>
        <v>0</v>
      </c>
      <c r="E46" s="214">
        <f>'Баландина по Усовой'!E46</f>
        <v>1</v>
      </c>
      <c r="F46" s="80">
        <f>'Баландина по Усовой'!F46</f>
        <v>1302.5999999999999</v>
      </c>
      <c r="G46" s="167" t="s">
        <v>114</v>
      </c>
      <c r="H46" s="168" t="s">
        <v>114</v>
      </c>
      <c r="J46" s="104"/>
      <c r="K46" s="104"/>
    </row>
    <row r="47" spans="1:11" ht="15" customHeight="1">
      <c r="A47" s="105"/>
      <c r="B47" s="19" t="s">
        <v>38</v>
      </c>
      <c r="C47" s="217">
        <f>SUM(C35:C46)</f>
        <v>320</v>
      </c>
      <c r="D47" s="100">
        <f>SUM(D35:D46)</f>
        <v>2625510.9300000002</v>
      </c>
      <c r="E47" s="215">
        <f>Расход!E47</f>
        <v>402</v>
      </c>
      <c r="F47" s="66">
        <f>SUM(F35:F46)</f>
        <v>2518176.29</v>
      </c>
      <c r="G47" s="163">
        <f>E47/C47</f>
        <v>1.2562500000000001</v>
      </c>
      <c r="H47" s="164">
        <f>F47/D47</f>
        <v>0.95911857049477223</v>
      </c>
      <c r="J47" s="104"/>
      <c r="K47" s="104"/>
    </row>
    <row r="48" spans="1:11" ht="15" customHeight="1">
      <c r="A48" s="103">
        <v>42</v>
      </c>
      <c r="B48" s="106" t="s">
        <v>39</v>
      </c>
      <c r="C48" s="213">
        <f>'Баландина по Усовой'!C48</f>
        <v>6</v>
      </c>
      <c r="D48" s="96">
        <f>'Баландина по Усовой'!D48</f>
        <v>12564.089999999998</v>
      </c>
      <c r="E48" s="213">
        <f>Расход!E48</f>
        <v>3</v>
      </c>
      <c r="F48" s="80">
        <f>Расход!F48</f>
        <v>17083.740000000002</v>
      </c>
      <c r="G48" s="167">
        <f t="shared" ref="G48:G54" si="6">E48/C48</f>
        <v>0.5</v>
      </c>
      <c r="H48" s="168">
        <f t="shared" ref="H48:H54" si="7">F48/D48</f>
        <v>1.3597276046255642</v>
      </c>
      <c r="J48" s="104"/>
      <c r="K48" s="104"/>
    </row>
    <row r="49" spans="1:11" ht="15" customHeight="1">
      <c r="A49" s="103">
        <v>43</v>
      </c>
      <c r="B49" s="106" t="s">
        <v>40</v>
      </c>
      <c r="C49" s="213">
        <f>'Баландина по Усовой'!C49</f>
        <v>3</v>
      </c>
      <c r="D49" s="96">
        <f>'Баландина по Усовой'!D49</f>
        <v>1983.52</v>
      </c>
      <c r="E49" s="213">
        <f>Расход!E49</f>
        <v>2</v>
      </c>
      <c r="F49" s="80">
        <f>Расход!F49</f>
        <v>1232.1600000000001</v>
      </c>
      <c r="G49" s="167">
        <f t="shared" si="6"/>
        <v>0.66666666666666663</v>
      </c>
      <c r="H49" s="168">
        <f t="shared" si="7"/>
        <v>0.62119867709929821</v>
      </c>
      <c r="J49" s="104"/>
      <c r="K49" s="104"/>
    </row>
    <row r="50" spans="1:11" ht="15" customHeight="1">
      <c r="A50" s="103">
        <v>44</v>
      </c>
      <c r="B50" s="29" t="s">
        <v>41</v>
      </c>
      <c r="C50" s="213">
        <f>'Баландина по Усовой'!C50</f>
        <v>16</v>
      </c>
      <c r="D50" s="96">
        <f>'Баландина по Усовой'!D50</f>
        <v>151157.03</v>
      </c>
      <c r="E50" s="213">
        <f>Расход!E50</f>
        <v>17</v>
      </c>
      <c r="F50" s="80">
        <f>Расход!F50</f>
        <v>37120.47</v>
      </c>
      <c r="G50" s="167">
        <f t="shared" si="6"/>
        <v>1.0625</v>
      </c>
      <c r="H50" s="168">
        <f t="shared" si="7"/>
        <v>0.24557554484895608</v>
      </c>
      <c r="J50" s="104"/>
      <c r="K50" s="104"/>
    </row>
    <row r="51" spans="1:11" ht="15" customHeight="1">
      <c r="A51" s="103">
        <v>45</v>
      </c>
      <c r="B51" s="29" t="s">
        <v>42</v>
      </c>
      <c r="C51" s="213">
        <f>'Баландина по Усовой'!C51</f>
        <v>1</v>
      </c>
      <c r="D51" s="96">
        <f>'Баландина по Усовой'!D51</f>
        <v>7528.8099999999995</v>
      </c>
      <c r="E51" s="213">
        <f>Расход!E51</f>
        <v>5</v>
      </c>
      <c r="F51" s="80">
        <f>Расход!F51</f>
        <v>37376.11</v>
      </c>
      <c r="G51" s="167">
        <f t="shared" si="6"/>
        <v>5</v>
      </c>
      <c r="H51" s="168">
        <f t="shared" si="7"/>
        <v>4.9644113744403171</v>
      </c>
      <c r="J51" s="104"/>
      <c r="K51" s="104"/>
    </row>
    <row r="52" spans="1:11" ht="15" customHeight="1">
      <c r="A52" s="103">
        <v>46</v>
      </c>
      <c r="B52" s="29" t="s">
        <v>43</v>
      </c>
      <c r="C52" s="213">
        <f>'Баландина по Усовой'!C52</f>
        <v>5</v>
      </c>
      <c r="D52" s="96">
        <f>'Баландина по Усовой'!D52</f>
        <v>48940.47</v>
      </c>
      <c r="E52" s="213">
        <f>Расход!E52</f>
        <v>3</v>
      </c>
      <c r="F52" s="80">
        <f>Расход!F52</f>
        <v>69516.929999999993</v>
      </c>
      <c r="G52" s="167">
        <f t="shared" si="6"/>
        <v>0.6</v>
      </c>
      <c r="H52" s="168">
        <f t="shared" si="7"/>
        <v>1.4204385450323627</v>
      </c>
      <c r="J52" s="104"/>
      <c r="K52" s="104"/>
    </row>
    <row r="53" spans="1:11" ht="15" customHeight="1">
      <c r="A53" s="103">
        <v>47</v>
      </c>
      <c r="B53" s="29" t="s">
        <v>44</v>
      </c>
      <c r="C53" s="213">
        <f>'Баландина по Усовой'!C53</f>
        <v>26</v>
      </c>
      <c r="D53" s="96">
        <f>'Баландина по Усовой'!D53</f>
        <v>197746</v>
      </c>
      <c r="E53" s="213">
        <f>Расход!E53</f>
        <v>52</v>
      </c>
      <c r="F53" s="80">
        <f>Расход!F53</f>
        <v>868462.2</v>
      </c>
      <c r="G53" s="167">
        <f t="shared" si="6"/>
        <v>2</v>
      </c>
      <c r="H53" s="168">
        <f t="shared" si="7"/>
        <v>4.3918066610702615</v>
      </c>
      <c r="J53" s="104"/>
      <c r="K53" s="104"/>
    </row>
    <row r="54" spans="1:11" ht="15" customHeight="1">
      <c r="A54" s="103">
        <v>48</v>
      </c>
      <c r="B54" s="29" t="s">
        <v>45</v>
      </c>
      <c r="C54" s="213">
        <f>'Баландина по Усовой'!C54</f>
        <v>11</v>
      </c>
      <c r="D54" s="96">
        <f>'Баландина по Усовой'!D54</f>
        <v>159986.57</v>
      </c>
      <c r="E54" s="213">
        <f>Расход!E54</f>
        <v>74</v>
      </c>
      <c r="F54" s="80">
        <f>Расход!F54</f>
        <v>640938.57000000007</v>
      </c>
      <c r="G54" s="167">
        <f t="shared" si="6"/>
        <v>6.7272727272727275</v>
      </c>
      <c r="H54" s="168">
        <f t="shared" si="7"/>
        <v>4.0062023331083356</v>
      </c>
      <c r="J54" s="104"/>
      <c r="K54" s="104"/>
    </row>
    <row r="55" spans="1:11" ht="15" customHeight="1">
      <c r="A55" s="105"/>
      <c r="B55" s="19" t="s">
        <v>46</v>
      </c>
      <c r="C55" s="217">
        <f>SUM(C48:C54)</f>
        <v>68</v>
      </c>
      <c r="D55" s="100">
        <f>SUM(D48:D54)</f>
        <v>579906.49</v>
      </c>
      <c r="E55" s="215">
        <f>Расход!E55</f>
        <v>156</v>
      </c>
      <c r="F55" s="66">
        <f>SUM(F48:F54)</f>
        <v>1671730.1800000002</v>
      </c>
      <c r="G55" s="163">
        <f>E55/C55</f>
        <v>2.2941176470588234</v>
      </c>
      <c r="H55" s="164">
        <f>F55/D55</f>
        <v>2.8827581839961822</v>
      </c>
      <c r="J55" s="104"/>
      <c r="K55" s="104"/>
    </row>
    <row r="56" spans="1:11" ht="15" customHeight="1">
      <c r="A56" s="103">
        <v>49</v>
      </c>
      <c r="B56" s="29" t="s">
        <v>47</v>
      </c>
      <c r="C56" s="213">
        <f>'Баландина по Усовой'!C56</f>
        <v>12</v>
      </c>
      <c r="D56" s="96">
        <f>'Баландина по Усовой'!D56</f>
        <v>34149.29</v>
      </c>
      <c r="E56" s="213">
        <f>Расход!E56</f>
        <v>6</v>
      </c>
      <c r="F56" s="80">
        <f>Расход!F56</f>
        <v>33863.550000000003</v>
      </c>
      <c r="G56" s="167">
        <f t="shared" ref="G56:G69" si="8">E56/C56</f>
        <v>0.5</v>
      </c>
      <c r="H56" s="168">
        <f t="shared" ref="H56:H69" si="9">F56/D56</f>
        <v>0.99163262252304518</v>
      </c>
      <c r="J56" s="104"/>
      <c r="K56" s="104"/>
    </row>
    <row r="57" spans="1:11" ht="15" customHeight="1">
      <c r="A57" s="103">
        <v>50</v>
      </c>
      <c r="B57" s="29" t="s">
        <v>48</v>
      </c>
      <c r="C57" s="213">
        <f>'Баландина по Усовой'!C57</f>
        <v>74</v>
      </c>
      <c r="D57" s="96">
        <f>'Баландина по Усовой'!D57</f>
        <v>335064.95999999996</v>
      </c>
      <c r="E57" s="213">
        <f>Расход!E57</f>
        <v>78</v>
      </c>
      <c r="F57" s="80">
        <f>Расход!F57</f>
        <v>487844.59</v>
      </c>
      <c r="G57" s="167">
        <f t="shared" si="8"/>
        <v>1.0540540540540539</v>
      </c>
      <c r="H57" s="168">
        <f t="shared" si="9"/>
        <v>1.4559701796332272</v>
      </c>
      <c r="J57" s="104"/>
      <c r="K57" s="104"/>
    </row>
    <row r="58" spans="1:11" ht="15" customHeight="1">
      <c r="A58" s="103">
        <v>51</v>
      </c>
      <c r="B58" s="29" t="s">
        <v>49</v>
      </c>
      <c r="C58" s="213">
        <f>'Баландина по Усовой'!C58</f>
        <v>58</v>
      </c>
      <c r="D58" s="96">
        <f>'Баландина по Усовой'!D58</f>
        <v>320635.46999999997</v>
      </c>
      <c r="E58" s="213">
        <f>Расход!E58</f>
        <v>28</v>
      </c>
      <c r="F58" s="80">
        <f>Расход!F58</f>
        <v>499202.03</v>
      </c>
      <c r="G58" s="167">
        <f t="shared" si="8"/>
        <v>0.48275862068965519</v>
      </c>
      <c r="H58" s="168">
        <f t="shared" si="9"/>
        <v>1.5569145547122409</v>
      </c>
      <c r="J58" s="104"/>
      <c r="K58" s="104"/>
    </row>
    <row r="59" spans="1:11" ht="15" customHeight="1">
      <c r="A59" s="103">
        <v>52</v>
      </c>
      <c r="B59" s="29" t="s">
        <v>50</v>
      </c>
      <c r="C59" s="213">
        <f>'Баландина по Усовой'!C59</f>
        <v>0</v>
      </c>
      <c r="D59" s="96">
        <f>'Баландина по Усовой'!D59</f>
        <v>0</v>
      </c>
      <c r="E59" s="213">
        <f>Расход!E59</f>
        <v>0</v>
      </c>
      <c r="F59" s="80">
        <f>Расход!F59</f>
        <v>0</v>
      </c>
      <c r="G59" s="167" t="s">
        <v>114</v>
      </c>
      <c r="H59" s="168" t="s">
        <v>114</v>
      </c>
      <c r="J59" s="104"/>
      <c r="K59" s="104"/>
    </row>
    <row r="60" spans="1:11" ht="15" customHeight="1">
      <c r="A60" s="103">
        <v>53</v>
      </c>
      <c r="B60" s="29" t="s">
        <v>51</v>
      </c>
      <c r="C60" s="213">
        <f>'Баландина по Усовой'!C60</f>
        <v>13</v>
      </c>
      <c r="D60" s="96">
        <f>'Баландина по Усовой'!D60</f>
        <v>87384.889999999985</v>
      </c>
      <c r="E60" s="213">
        <f>Расход!E60</f>
        <v>17</v>
      </c>
      <c r="F60" s="80">
        <f>Расход!F60</f>
        <v>72094.239999999991</v>
      </c>
      <c r="G60" s="167">
        <f t="shared" si="8"/>
        <v>1.3076923076923077</v>
      </c>
      <c r="H60" s="168">
        <f t="shared" si="9"/>
        <v>0.82501951996506495</v>
      </c>
      <c r="J60" s="104"/>
      <c r="K60" s="104"/>
    </row>
    <row r="61" spans="1:11" ht="15" customHeight="1">
      <c r="A61" s="103">
        <v>54</v>
      </c>
      <c r="B61" s="29" t="s">
        <v>52</v>
      </c>
      <c r="C61" s="213">
        <f>'Баландина по Усовой'!C61</f>
        <v>33</v>
      </c>
      <c r="D61" s="96">
        <f>'Баландина по Усовой'!D61</f>
        <v>142304.56</v>
      </c>
      <c r="E61" s="213">
        <f>Расход!E61</f>
        <v>18</v>
      </c>
      <c r="F61" s="80">
        <f>Расход!F61</f>
        <v>298828.10000000003</v>
      </c>
      <c r="G61" s="167">
        <f t="shared" si="8"/>
        <v>0.54545454545454541</v>
      </c>
      <c r="H61" s="168">
        <f t="shared" si="9"/>
        <v>2.0999193560627996</v>
      </c>
      <c r="J61" s="104"/>
      <c r="K61" s="104"/>
    </row>
    <row r="62" spans="1:11" ht="15" customHeight="1">
      <c r="A62" s="103">
        <v>55</v>
      </c>
      <c r="B62" s="29" t="s">
        <v>53</v>
      </c>
      <c r="C62" s="213">
        <f>'Баландина по Усовой'!C62</f>
        <v>90</v>
      </c>
      <c r="D62" s="96">
        <f>'Баландина по Усовой'!D62</f>
        <v>404788.52</v>
      </c>
      <c r="E62" s="213">
        <f>Расход!E62</f>
        <v>5</v>
      </c>
      <c r="F62" s="80">
        <f>Расход!F62</f>
        <v>81127.19</v>
      </c>
      <c r="G62" s="167">
        <f t="shared" si="8"/>
        <v>5.5555555555555552E-2</v>
      </c>
      <c r="H62" s="168">
        <f t="shared" si="9"/>
        <v>0.20041870258573538</v>
      </c>
      <c r="J62" s="104"/>
      <c r="K62" s="104"/>
    </row>
    <row r="63" spans="1:11" ht="15" customHeight="1">
      <c r="A63" s="103">
        <v>56</v>
      </c>
      <c r="B63" s="29" t="s">
        <v>54</v>
      </c>
      <c r="C63" s="213">
        <f>'Баландина по Усовой'!C63</f>
        <v>422</v>
      </c>
      <c r="D63" s="96">
        <f>'Баландина по Усовой'!D63</f>
        <v>17448652.869999997</v>
      </c>
      <c r="E63" s="213">
        <f>Расход!E63</f>
        <v>268</v>
      </c>
      <c r="F63" s="80">
        <f>Расход!F63</f>
        <v>7497533.1600000001</v>
      </c>
      <c r="G63" s="167">
        <f t="shared" si="8"/>
        <v>0.63507109004739337</v>
      </c>
      <c r="H63" s="168">
        <f t="shared" si="9"/>
        <v>0.42969123266190584</v>
      </c>
      <c r="J63" s="104"/>
      <c r="K63" s="104"/>
    </row>
    <row r="64" spans="1:11" ht="15" customHeight="1">
      <c r="A64" s="103">
        <v>57</v>
      </c>
      <c r="B64" s="29" t="s">
        <v>55</v>
      </c>
      <c r="C64" s="213">
        <f>'Баландина по Усовой'!C64</f>
        <v>48</v>
      </c>
      <c r="D64" s="96">
        <f>'Баландина по Усовой'!D64</f>
        <v>347643.70999999996</v>
      </c>
      <c r="E64" s="213">
        <f>Расход!E64</f>
        <v>74</v>
      </c>
      <c r="F64" s="80">
        <f>Расход!F64</f>
        <v>486476.68000000005</v>
      </c>
      <c r="G64" s="167">
        <f t="shared" si="8"/>
        <v>1.5416666666666667</v>
      </c>
      <c r="H64" s="168">
        <f t="shared" si="9"/>
        <v>1.3993541836266794</v>
      </c>
      <c r="J64" s="104"/>
      <c r="K64" s="104"/>
    </row>
    <row r="65" spans="1:11" ht="15" customHeight="1">
      <c r="A65" s="103">
        <v>58</v>
      </c>
      <c r="B65" s="29" t="s">
        <v>56</v>
      </c>
      <c r="C65" s="213">
        <f>'Баландина по Усовой'!C65</f>
        <v>346</v>
      </c>
      <c r="D65" s="96">
        <f>'Баландина по Усовой'!D65</f>
        <v>2465202</v>
      </c>
      <c r="E65" s="213">
        <f>Расход!E65</f>
        <v>299</v>
      </c>
      <c r="F65" s="80">
        <f>Расход!F65</f>
        <v>8482946.8299999982</v>
      </c>
      <c r="G65" s="167">
        <f t="shared" si="8"/>
        <v>0.86416184971098264</v>
      </c>
      <c r="H65" s="168">
        <f t="shared" si="9"/>
        <v>3.4410757536299248</v>
      </c>
      <c r="J65" s="104"/>
      <c r="K65" s="104"/>
    </row>
    <row r="66" spans="1:11" ht="15" customHeight="1">
      <c r="A66" s="103">
        <v>59</v>
      </c>
      <c r="B66" s="29" t="s">
        <v>57</v>
      </c>
      <c r="C66" s="213">
        <f>'Баландина по Усовой'!C66</f>
        <v>949</v>
      </c>
      <c r="D66" s="96">
        <f>'Баландина по Усовой'!D66</f>
        <v>8165005.1000000006</v>
      </c>
      <c r="E66" s="213">
        <f>Расход!E66</f>
        <v>125</v>
      </c>
      <c r="F66" s="80">
        <f>Расход!F66</f>
        <v>4260575.4000000004</v>
      </c>
      <c r="G66" s="167">
        <f t="shared" si="8"/>
        <v>0.13171759747102213</v>
      </c>
      <c r="H66" s="168">
        <f t="shared" si="9"/>
        <v>0.5218092760284988</v>
      </c>
      <c r="J66" s="104"/>
      <c r="K66" s="104"/>
    </row>
    <row r="67" spans="1:11" ht="15" customHeight="1">
      <c r="A67" s="103">
        <v>60</v>
      </c>
      <c r="B67" s="29" t="s">
        <v>58</v>
      </c>
      <c r="C67" s="213">
        <f>'Баландина по Усовой'!C67</f>
        <v>9</v>
      </c>
      <c r="D67" s="96">
        <f>'Баландина по Усовой'!D67</f>
        <v>54970.179999999993</v>
      </c>
      <c r="E67" s="213">
        <f>Расход!E67</f>
        <v>34</v>
      </c>
      <c r="F67" s="80">
        <f>Расход!F67</f>
        <v>1009717.72</v>
      </c>
      <c r="G67" s="167">
        <f t="shared" si="8"/>
        <v>3.7777777777777777</v>
      </c>
      <c r="H67" s="168">
        <f t="shared" si="9"/>
        <v>18.368463046691861</v>
      </c>
      <c r="J67" s="104"/>
      <c r="K67" s="104"/>
    </row>
    <row r="68" spans="1:11" ht="15" customHeight="1">
      <c r="A68" s="103">
        <v>61</v>
      </c>
      <c r="B68" s="29" t="s">
        <v>59</v>
      </c>
      <c r="C68" s="213">
        <f>'Баландина по Усовой'!C68</f>
        <v>587</v>
      </c>
      <c r="D68" s="96">
        <f>'Баландина по Усовой'!D68</f>
        <v>6770329</v>
      </c>
      <c r="E68" s="213">
        <f>Расход!E68</f>
        <v>253</v>
      </c>
      <c r="F68" s="80">
        <f>Расход!F68</f>
        <v>2290283.7000000002</v>
      </c>
      <c r="G68" s="167">
        <f t="shared" si="8"/>
        <v>0.43100511073253833</v>
      </c>
      <c r="H68" s="168">
        <f t="shared" si="9"/>
        <v>0.3382824822840958</v>
      </c>
      <c r="J68" s="104"/>
      <c r="K68" s="104"/>
    </row>
    <row r="69" spans="1:11" ht="15" customHeight="1">
      <c r="A69" s="103">
        <v>62</v>
      </c>
      <c r="B69" s="29" t="s">
        <v>60</v>
      </c>
      <c r="C69" s="213">
        <f>'Баландина по Усовой'!C69</f>
        <v>94</v>
      </c>
      <c r="D69" s="96">
        <f>'Баландина по Усовой'!D69</f>
        <v>505539.08</v>
      </c>
      <c r="E69" s="213">
        <f>Расход!E69</f>
        <v>55</v>
      </c>
      <c r="F69" s="80">
        <f>Расход!F69</f>
        <v>434915.3</v>
      </c>
      <c r="G69" s="167">
        <f t="shared" si="8"/>
        <v>0.58510638297872342</v>
      </c>
      <c r="H69" s="168">
        <f t="shared" si="9"/>
        <v>0.86030005830607592</v>
      </c>
      <c r="J69" s="104"/>
      <c r="K69" s="104"/>
    </row>
    <row r="70" spans="1:11" ht="15" customHeight="1">
      <c r="A70" s="105"/>
      <c r="B70" s="19" t="s">
        <v>61</v>
      </c>
      <c r="C70" s="217">
        <f>SUM(C56:C69)</f>
        <v>2735</v>
      </c>
      <c r="D70" s="100">
        <f>SUM(D56:D69)</f>
        <v>37081669.629999995</v>
      </c>
      <c r="E70" s="215">
        <f>Расход!E70</f>
        <v>1260</v>
      </c>
      <c r="F70" s="67">
        <f>SUM(F56:F69)</f>
        <v>25935408.489999995</v>
      </c>
      <c r="G70" s="163">
        <f t="shared" ref="G70:G87" si="10">E70/C70</f>
        <v>0.46069469835466181</v>
      </c>
      <c r="H70" s="164">
        <f t="shared" ref="H70:H87" si="11">F70/D70</f>
        <v>0.69941318038758438</v>
      </c>
      <c r="J70" s="104"/>
      <c r="K70" s="104"/>
    </row>
    <row r="71" spans="1:11" ht="15" customHeight="1">
      <c r="A71" s="103">
        <v>63</v>
      </c>
      <c r="B71" s="29" t="s">
        <v>62</v>
      </c>
      <c r="C71" s="213">
        <f>'Баландина по Усовой'!C71</f>
        <v>7</v>
      </c>
      <c r="D71" s="96">
        <f>'Баландина по Усовой'!D71</f>
        <v>10426.08</v>
      </c>
      <c r="E71" s="213">
        <f>Расход!E71</f>
        <v>7</v>
      </c>
      <c r="F71" s="80">
        <f>Расход!F71</f>
        <v>54202.29</v>
      </c>
      <c r="G71" s="167">
        <f t="shared" si="10"/>
        <v>1</v>
      </c>
      <c r="H71" s="168">
        <f t="shared" si="11"/>
        <v>5.1987218590304316</v>
      </c>
      <c r="J71" s="104"/>
      <c r="K71" s="104"/>
    </row>
    <row r="72" spans="1:11" ht="15" customHeight="1">
      <c r="A72" s="103">
        <v>64</v>
      </c>
      <c r="B72" s="29" t="s">
        <v>63</v>
      </c>
      <c r="C72" s="213">
        <f>'Баландина по Усовой'!C72</f>
        <v>42</v>
      </c>
      <c r="D72" s="96">
        <f>'Баландина по Усовой'!D72</f>
        <v>121375.23000000001</v>
      </c>
      <c r="E72" s="213">
        <f>Расход!E72</f>
        <v>34</v>
      </c>
      <c r="F72" s="80">
        <f>Расход!F72</f>
        <v>303056.68</v>
      </c>
      <c r="G72" s="167">
        <f t="shared" si="10"/>
        <v>0.80952380952380953</v>
      </c>
      <c r="H72" s="168">
        <f t="shared" si="11"/>
        <v>2.4968577196516946</v>
      </c>
      <c r="J72" s="104"/>
      <c r="K72" s="104"/>
    </row>
    <row r="73" spans="1:11" ht="15" customHeight="1">
      <c r="A73" s="103">
        <v>65</v>
      </c>
      <c r="B73" s="29" t="s">
        <v>64</v>
      </c>
      <c r="C73" s="213">
        <f>'Баландина по Усовой'!C73</f>
        <v>13</v>
      </c>
      <c r="D73" s="96">
        <f>'Баландина по Усовой'!D73</f>
        <v>75258.75</v>
      </c>
      <c r="E73" s="213">
        <f>Расход!E73</f>
        <v>13</v>
      </c>
      <c r="F73" s="80">
        <f>Расход!F73</f>
        <v>624381.26</v>
      </c>
      <c r="G73" s="167">
        <f t="shared" si="10"/>
        <v>1</v>
      </c>
      <c r="H73" s="168">
        <f t="shared" si="11"/>
        <v>8.296460677329879</v>
      </c>
      <c r="J73" s="104"/>
      <c r="K73" s="104"/>
    </row>
    <row r="74" spans="1:11" ht="15" customHeight="1">
      <c r="A74" s="103">
        <v>66</v>
      </c>
      <c r="B74" s="29" t="s">
        <v>65</v>
      </c>
      <c r="C74" s="213">
        <f>'Баландина по Усовой'!C74</f>
        <v>59</v>
      </c>
      <c r="D74" s="96">
        <f>'Баландина по Усовой'!D74</f>
        <v>237111.01</v>
      </c>
      <c r="E74" s="213">
        <f>Расход!E74</f>
        <v>25</v>
      </c>
      <c r="F74" s="80">
        <f>Расход!F74</f>
        <v>150293.5</v>
      </c>
      <c r="G74" s="167">
        <f t="shared" si="10"/>
        <v>0.42372881355932202</v>
      </c>
      <c r="H74" s="168">
        <f t="shared" si="11"/>
        <v>0.63385289447335236</v>
      </c>
      <c r="J74" s="104"/>
      <c r="K74" s="104"/>
    </row>
    <row r="75" spans="1:11" ht="15" customHeight="1">
      <c r="A75" s="103">
        <v>67</v>
      </c>
      <c r="B75" s="29" t="s">
        <v>66</v>
      </c>
      <c r="C75" s="213">
        <f>'Баландина по Усовой'!C75</f>
        <v>32</v>
      </c>
      <c r="D75" s="96">
        <f>'Баландина по Усовой'!D75</f>
        <v>32594.45</v>
      </c>
      <c r="E75" s="213">
        <f>Расход!E75</f>
        <v>13</v>
      </c>
      <c r="F75" s="80">
        <f>Расход!F75</f>
        <v>86811.22</v>
      </c>
      <c r="G75" s="167">
        <f t="shared" si="10"/>
        <v>0.40625</v>
      </c>
      <c r="H75" s="168">
        <f t="shared" si="11"/>
        <v>2.6633742861131267</v>
      </c>
      <c r="J75" s="104"/>
      <c r="K75" s="104"/>
    </row>
    <row r="76" spans="1:11" ht="15" customHeight="1">
      <c r="A76" s="103">
        <v>68</v>
      </c>
      <c r="B76" s="29" t="s">
        <v>67</v>
      </c>
      <c r="C76" s="213">
        <f>'Баландина по Усовой'!C76</f>
        <v>28</v>
      </c>
      <c r="D76" s="96">
        <f>'Баландина по Усовой'!D76</f>
        <v>87243.31</v>
      </c>
      <c r="E76" s="213">
        <f>Расход!E76</f>
        <v>7</v>
      </c>
      <c r="F76" s="80">
        <f>Расход!F76</f>
        <v>28560.48</v>
      </c>
      <c r="G76" s="167">
        <f t="shared" si="10"/>
        <v>0.25</v>
      </c>
      <c r="H76" s="168">
        <f t="shared" si="11"/>
        <v>0.3273658461605824</v>
      </c>
      <c r="J76" s="104"/>
      <c r="K76" s="104"/>
    </row>
    <row r="77" spans="1:11" ht="15" customHeight="1">
      <c r="A77" s="105"/>
      <c r="B77" s="19" t="s">
        <v>68</v>
      </c>
      <c r="C77" s="217">
        <f>SUM(C71:C76)</f>
        <v>181</v>
      </c>
      <c r="D77" s="100">
        <f>SUM(D71:D76)</f>
        <v>564008.83000000007</v>
      </c>
      <c r="E77" s="215">
        <f>Расход!E77</f>
        <v>99</v>
      </c>
      <c r="F77" s="67">
        <f>SUM(F71:F76)</f>
        <v>1247305.43</v>
      </c>
      <c r="G77" s="163">
        <f t="shared" si="10"/>
        <v>0.54696132596685088</v>
      </c>
      <c r="H77" s="164">
        <f t="shared" si="11"/>
        <v>2.2114998270505795</v>
      </c>
      <c r="J77" s="104"/>
      <c r="K77" s="104"/>
    </row>
    <row r="78" spans="1:11" ht="15" customHeight="1">
      <c r="A78" s="103">
        <v>69</v>
      </c>
      <c r="B78" s="29" t="s">
        <v>69</v>
      </c>
      <c r="C78" s="213">
        <f>'Баландина по Усовой'!C78</f>
        <v>6</v>
      </c>
      <c r="D78" s="96">
        <f>'Баландина по Усовой'!D78</f>
        <v>110037.44</v>
      </c>
      <c r="E78" s="213">
        <f>Расход!E78</f>
        <v>12</v>
      </c>
      <c r="F78" s="80">
        <f>Расход!F78</f>
        <v>26586.519999999997</v>
      </c>
      <c r="G78" s="167">
        <f t="shared" si="10"/>
        <v>2</v>
      </c>
      <c r="H78" s="168">
        <f t="shared" si="11"/>
        <v>0.24161339994823577</v>
      </c>
      <c r="J78" s="104"/>
      <c r="K78" s="104"/>
    </row>
    <row r="79" spans="1:11" ht="15" customHeight="1">
      <c r="A79" s="103">
        <v>70</v>
      </c>
      <c r="B79" s="29" t="s">
        <v>71</v>
      </c>
      <c r="C79" s="213">
        <f>'Баландина по Усовой'!C79</f>
        <v>9</v>
      </c>
      <c r="D79" s="96">
        <f>'Баландина по Усовой'!D79</f>
        <v>76965.73000000001</v>
      </c>
      <c r="E79" s="213">
        <f>Расход!E79</f>
        <v>4</v>
      </c>
      <c r="F79" s="80">
        <f>Расход!F79</f>
        <v>4759</v>
      </c>
      <c r="G79" s="167">
        <f t="shared" si="10"/>
        <v>0.44444444444444442</v>
      </c>
      <c r="H79" s="168">
        <f t="shared" si="11"/>
        <v>6.1832714378204423E-2</v>
      </c>
      <c r="J79" s="104"/>
      <c r="K79" s="104"/>
    </row>
    <row r="80" spans="1:11" ht="15" customHeight="1">
      <c r="A80" s="103">
        <v>71</v>
      </c>
      <c r="B80" s="29" t="s">
        <v>72</v>
      </c>
      <c r="C80" s="213">
        <f>'Баландина по Усовой'!C80</f>
        <v>9</v>
      </c>
      <c r="D80" s="96">
        <f>'Баландина по Усовой'!D80</f>
        <v>98277.150000000009</v>
      </c>
      <c r="E80" s="213">
        <f>Расход!E80</f>
        <v>6</v>
      </c>
      <c r="F80" s="80">
        <f>Расход!F80</f>
        <v>163209.87</v>
      </c>
      <c r="G80" s="167">
        <f t="shared" si="10"/>
        <v>0.66666666666666663</v>
      </c>
      <c r="H80" s="168">
        <f t="shared" si="11"/>
        <v>1.6607102464815064</v>
      </c>
      <c r="J80" s="104"/>
      <c r="K80" s="104"/>
    </row>
    <row r="81" spans="1:11" ht="15" customHeight="1">
      <c r="A81" s="103">
        <v>72</v>
      </c>
      <c r="B81" s="29" t="s">
        <v>73</v>
      </c>
      <c r="C81" s="213">
        <f>'Баландина по Усовой'!C81</f>
        <v>28</v>
      </c>
      <c r="D81" s="96">
        <f>'Баландина по Усовой'!D81</f>
        <v>200408.75999999998</v>
      </c>
      <c r="E81" s="213">
        <f>Расход!E81</f>
        <v>7</v>
      </c>
      <c r="F81" s="80">
        <f>Расход!F81</f>
        <v>37677</v>
      </c>
      <c r="G81" s="167">
        <f t="shared" si="10"/>
        <v>0.25</v>
      </c>
      <c r="H81" s="168">
        <f t="shared" si="11"/>
        <v>0.18800076403845822</v>
      </c>
      <c r="J81" s="104"/>
      <c r="K81" s="104"/>
    </row>
    <row r="82" spans="1:11" ht="15" customHeight="1">
      <c r="A82" s="103">
        <v>73</v>
      </c>
      <c r="B82" s="29" t="s">
        <v>74</v>
      </c>
      <c r="C82" s="213">
        <f>'Баландина по Усовой'!C82</f>
        <v>7</v>
      </c>
      <c r="D82" s="96">
        <f>'Баландина по Усовой'!D82</f>
        <v>79749.100000000006</v>
      </c>
      <c r="E82" s="213">
        <f>Расход!E82</f>
        <v>7</v>
      </c>
      <c r="F82" s="80">
        <f>Расход!F82</f>
        <v>116681.81</v>
      </c>
      <c r="G82" s="167">
        <f t="shared" si="10"/>
        <v>1</v>
      </c>
      <c r="H82" s="168">
        <f t="shared" si="11"/>
        <v>1.4631113078392106</v>
      </c>
      <c r="J82" s="104"/>
      <c r="K82" s="104"/>
    </row>
    <row r="83" spans="1:11" ht="15" customHeight="1">
      <c r="A83" s="103">
        <v>74</v>
      </c>
      <c r="B83" s="29" t="s">
        <v>75</v>
      </c>
      <c r="C83" s="213">
        <f>'Баландина по Усовой'!C83</f>
        <v>9</v>
      </c>
      <c r="D83" s="96">
        <f>'Баландина по Усовой'!D83</f>
        <v>98810.94</v>
      </c>
      <c r="E83" s="213">
        <f>Расход!E83</f>
        <v>5</v>
      </c>
      <c r="F83" s="80">
        <f>Расход!F83</f>
        <v>7141.99</v>
      </c>
      <c r="G83" s="167">
        <f t="shared" si="10"/>
        <v>0.55555555555555558</v>
      </c>
      <c r="H83" s="168">
        <f t="shared" si="11"/>
        <v>7.2279344777005455E-2</v>
      </c>
      <c r="J83" s="104"/>
      <c r="K83" s="104"/>
    </row>
    <row r="84" spans="1:11" ht="15" customHeight="1">
      <c r="A84" s="103">
        <v>75</v>
      </c>
      <c r="B84" s="29" t="s">
        <v>76</v>
      </c>
      <c r="C84" s="213">
        <f>'Баландина по Усовой'!C84</f>
        <v>1</v>
      </c>
      <c r="D84" s="96">
        <f>'Баландина по Усовой'!D84</f>
        <v>4320.91</v>
      </c>
      <c r="E84" s="213">
        <f>Расход!E84</f>
        <v>1</v>
      </c>
      <c r="F84" s="80">
        <f>Расход!F84</f>
        <v>1457.85</v>
      </c>
      <c r="G84" s="167">
        <f>E84/C84</f>
        <v>1</v>
      </c>
      <c r="H84" s="168">
        <f t="shared" si="11"/>
        <v>0.33739420631302203</v>
      </c>
      <c r="J84" s="104"/>
      <c r="K84" s="104"/>
    </row>
    <row r="85" spans="1:11" ht="15" customHeight="1">
      <c r="A85" s="103">
        <v>76</v>
      </c>
      <c r="B85" s="29" t="s">
        <v>78</v>
      </c>
      <c r="C85" s="213">
        <f>'Баландина по Усовой'!C85</f>
        <v>0</v>
      </c>
      <c r="D85" s="96">
        <f>'Баландина по Усовой'!D85</f>
        <v>0</v>
      </c>
      <c r="E85" s="213">
        <f>Расход!E85</f>
        <v>0</v>
      </c>
      <c r="F85" s="80">
        <f>Расход!F85</f>
        <v>0</v>
      </c>
      <c r="G85" s="167"/>
      <c r="H85" s="168" t="s">
        <v>114</v>
      </c>
      <c r="J85" s="104"/>
      <c r="K85" s="104"/>
    </row>
    <row r="86" spans="1:11" ht="15" customHeight="1">
      <c r="A86" s="103">
        <v>77</v>
      </c>
      <c r="B86" s="29" t="s">
        <v>79</v>
      </c>
      <c r="C86" s="213">
        <f>'Баландина по Усовой'!C86</f>
        <v>2</v>
      </c>
      <c r="D86" s="96">
        <f>'Баландина по Усовой'!D86</f>
        <v>0</v>
      </c>
      <c r="E86" s="213">
        <f>Расход!E86</f>
        <v>0</v>
      </c>
      <c r="F86" s="80">
        <f>Расход!F86</f>
        <v>0</v>
      </c>
      <c r="G86" s="167">
        <f>E86/C86</f>
        <v>0</v>
      </c>
      <c r="H86" s="168"/>
      <c r="J86" s="104"/>
      <c r="K86" s="104"/>
    </row>
    <row r="87" spans="1:11" ht="15" customHeight="1">
      <c r="A87" s="103">
        <v>78</v>
      </c>
      <c r="B87" s="29" t="s">
        <v>80</v>
      </c>
      <c r="C87" s="213">
        <f>'Баландина по Усовой'!C87</f>
        <v>4</v>
      </c>
      <c r="D87" s="96">
        <f>'Баландина по Усовой'!D87</f>
        <v>48578.65</v>
      </c>
      <c r="E87" s="213">
        <f>Расход!E87</f>
        <v>1</v>
      </c>
      <c r="F87" s="80">
        <f>Расход!F87</f>
        <v>3044.19</v>
      </c>
      <c r="G87" s="167">
        <f t="shared" si="10"/>
        <v>0.25</v>
      </c>
      <c r="H87" s="168">
        <f t="shared" si="11"/>
        <v>6.2665183161738747E-2</v>
      </c>
      <c r="J87" s="104"/>
      <c r="K87" s="104"/>
    </row>
    <row r="88" spans="1:11" ht="15" customHeight="1">
      <c r="A88" s="105"/>
      <c r="B88" s="19" t="s">
        <v>81</v>
      </c>
      <c r="C88" s="217">
        <f>SUM(C78:C87)</f>
        <v>75</v>
      </c>
      <c r="D88" s="100">
        <f>SUM(D78:D87)</f>
        <v>717148.67999999993</v>
      </c>
      <c r="E88" s="215">
        <f>Расход!E88</f>
        <v>43</v>
      </c>
      <c r="F88" s="67">
        <f>SUM(F78:F87)</f>
        <v>360558.22999999992</v>
      </c>
      <c r="G88" s="163">
        <f>E88/C88</f>
        <v>0.57333333333333336</v>
      </c>
      <c r="H88" s="164">
        <f>F88/D88</f>
        <v>0.50276635801658309</v>
      </c>
      <c r="J88" s="104"/>
      <c r="K88" s="104"/>
    </row>
    <row r="89" spans="1:11" ht="15" customHeight="1">
      <c r="A89" s="103">
        <v>79</v>
      </c>
      <c r="B89" s="106" t="s">
        <v>82</v>
      </c>
      <c r="C89" s="213">
        <f>'Баландина по Усовой'!C89</f>
        <v>3</v>
      </c>
      <c r="D89" s="96">
        <f>'Баландина по Усовой'!D89</f>
        <v>13474.63</v>
      </c>
      <c r="E89" s="213">
        <f>Расход!E89</f>
        <v>9</v>
      </c>
      <c r="F89" s="80">
        <f>Расход!F89</f>
        <v>47439.4</v>
      </c>
      <c r="G89" s="167">
        <f t="shared" ref="G89:G100" si="12">E89/C89</f>
        <v>3</v>
      </c>
      <c r="H89" s="168">
        <f t="shared" ref="H89:H100" si="13">F89/D89</f>
        <v>3.5206458359153463</v>
      </c>
      <c r="J89" s="104"/>
      <c r="K89" s="104"/>
    </row>
    <row r="90" spans="1:11" ht="15" customHeight="1">
      <c r="A90" s="103">
        <v>80</v>
      </c>
      <c r="B90" s="106" t="s">
        <v>83</v>
      </c>
      <c r="C90" s="213">
        <f>'Баландина по Усовой'!C90</f>
        <v>1</v>
      </c>
      <c r="D90" s="96">
        <f>'Баландина по Усовой'!D90</f>
        <v>944.57</v>
      </c>
      <c r="E90" s="213">
        <f>Расход!E90</f>
        <v>2</v>
      </c>
      <c r="F90" s="80">
        <f>Расход!F90</f>
        <v>2855.77</v>
      </c>
      <c r="G90" s="167">
        <f>E90/C90</f>
        <v>2</v>
      </c>
      <c r="H90" s="168">
        <f>F90/D90</f>
        <v>3.0233545422784971</v>
      </c>
      <c r="J90" s="104"/>
      <c r="K90" s="104"/>
    </row>
    <row r="91" spans="1:11" ht="15" customHeight="1">
      <c r="A91" s="103">
        <v>81</v>
      </c>
      <c r="B91" s="107" t="s">
        <v>70</v>
      </c>
      <c r="C91" s="213">
        <f>'Баландина по Усовой'!C91</f>
        <v>6</v>
      </c>
      <c r="D91" s="96">
        <f>'Баландина по Усовой'!D91</f>
        <v>59223.71</v>
      </c>
      <c r="E91" s="213">
        <f>Расход!E91</f>
        <v>1</v>
      </c>
      <c r="F91" s="80">
        <f>Расход!F91</f>
        <v>113.31</v>
      </c>
      <c r="G91" s="167">
        <f t="shared" si="12"/>
        <v>0.16666666666666666</v>
      </c>
      <c r="H91" s="168">
        <f t="shared" si="13"/>
        <v>1.9132539991162324E-3</v>
      </c>
      <c r="J91" s="104"/>
      <c r="K91" s="104"/>
    </row>
    <row r="92" spans="1:11" ht="15" customHeight="1">
      <c r="A92" s="103">
        <v>82</v>
      </c>
      <c r="B92" s="108" t="s">
        <v>84</v>
      </c>
      <c r="C92" s="213">
        <f>'Баландина по Усовой'!C92</f>
        <v>9</v>
      </c>
      <c r="D92" s="96">
        <f>'Баландина по Усовой'!D92</f>
        <v>23275.73</v>
      </c>
      <c r="E92" s="213">
        <f>Расход!E92</f>
        <v>1</v>
      </c>
      <c r="F92" s="80">
        <f>Расход!F92</f>
        <v>8996.94</v>
      </c>
      <c r="G92" s="167">
        <f t="shared" si="12"/>
        <v>0.1111111111111111</v>
      </c>
      <c r="H92" s="168">
        <f t="shared" si="13"/>
        <v>0.3865373932418017</v>
      </c>
      <c r="J92" s="104"/>
      <c r="K92" s="104"/>
    </row>
    <row r="93" spans="1:11" ht="15" customHeight="1">
      <c r="A93" s="103">
        <v>83</v>
      </c>
      <c r="B93" s="108" t="s">
        <v>85</v>
      </c>
      <c r="C93" s="213">
        <f>'Баландина по Усовой'!C93</f>
        <v>3</v>
      </c>
      <c r="D93" s="96">
        <f>'Баландина по Усовой'!D93</f>
        <v>10569.539999999999</v>
      </c>
      <c r="E93" s="213">
        <f>Расход!E93</f>
        <v>2</v>
      </c>
      <c r="F93" s="80">
        <f>Расход!F93</f>
        <v>10865.07</v>
      </c>
      <c r="G93" s="167">
        <f t="shared" si="12"/>
        <v>0.66666666666666663</v>
      </c>
      <c r="H93" s="168">
        <f t="shared" si="13"/>
        <v>1.0279605356524504</v>
      </c>
      <c r="J93" s="104"/>
      <c r="K93" s="104"/>
    </row>
    <row r="94" spans="1:11" ht="15" customHeight="1">
      <c r="A94" s="103">
        <v>84</v>
      </c>
      <c r="B94" s="108" t="s">
        <v>86</v>
      </c>
      <c r="C94" s="213">
        <f>'Баландина по Усовой'!C94</f>
        <v>11</v>
      </c>
      <c r="D94" s="96">
        <f>'Баландина по Усовой'!D94</f>
        <v>125647.55</v>
      </c>
      <c r="E94" s="213">
        <f>Расход!E94</f>
        <v>3</v>
      </c>
      <c r="F94" s="80">
        <f>Расход!F94</f>
        <v>7564.0599999999995</v>
      </c>
      <c r="G94" s="167">
        <f t="shared" si="12"/>
        <v>0.27272727272727271</v>
      </c>
      <c r="H94" s="168">
        <f t="shared" si="13"/>
        <v>6.0200616725117201E-2</v>
      </c>
      <c r="J94" s="104"/>
      <c r="K94" s="104"/>
    </row>
    <row r="95" spans="1:11" ht="15" customHeight="1">
      <c r="A95" s="103">
        <v>85</v>
      </c>
      <c r="B95" s="107" t="s">
        <v>77</v>
      </c>
      <c r="C95" s="213">
        <f>'Баландина по Усовой'!C95</f>
        <v>2</v>
      </c>
      <c r="D95" s="96">
        <f>'Баландина по Усовой'!D95</f>
        <v>133.43</v>
      </c>
      <c r="E95" s="213">
        <f>Расход!E95</f>
        <v>2</v>
      </c>
      <c r="F95" s="80">
        <f>Расход!F95</f>
        <v>5655.39</v>
      </c>
      <c r="G95" s="167">
        <f t="shared" si="12"/>
        <v>1</v>
      </c>
      <c r="H95" s="168">
        <f t="shared" si="13"/>
        <v>42.384696095330888</v>
      </c>
      <c r="J95" s="104"/>
      <c r="K95" s="104"/>
    </row>
    <row r="96" spans="1:11" ht="15" customHeight="1">
      <c r="A96" s="103">
        <v>86</v>
      </c>
      <c r="B96" s="106" t="s">
        <v>87</v>
      </c>
      <c r="C96" s="213">
        <f>'Баландина по Усовой'!C96</f>
        <v>8</v>
      </c>
      <c r="D96" s="96">
        <f>'Баландина по Усовой'!D96</f>
        <v>93146.79</v>
      </c>
      <c r="E96" s="213">
        <f>Расход!E96</f>
        <v>14</v>
      </c>
      <c r="F96" s="80">
        <f>Расход!F96</f>
        <v>114540.48999999999</v>
      </c>
      <c r="G96" s="167">
        <f t="shared" si="12"/>
        <v>1.75</v>
      </c>
      <c r="H96" s="168">
        <f t="shared" si="13"/>
        <v>1.2296772653142423</v>
      </c>
      <c r="J96" s="104"/>
      <c r="K96" s="104"/>
    </row>
    <row r="97" spans="1:11" ht="15" customHeight="1">
      <c r="A97" s="103">
        <v>87</v>
      </c>
      <c r="B97" s="106" t="s">
        <v>88</v>
      </c>
      <c r="C97" s="213">
        <f>'Баландина по Усовой'!C97</f>
        <v>12</v>
      </c>
      <c r="D97" s="96">
        <f>'Баландина по Усовой'!D97</f>
        <v>131594.68</v>
      </c>
      <c r="E97" s="213">
        <f>Расход!E97</f>
        <v>2</v>
      </c>
      <c r="F97" s="80">
        <f>Расход!F97</f>
        <v>4220</v>
      </c>
      <c r="G97" s="167">
        <f t="shared" si="12"/>
        <v>0.16666666666666666</v>
      </c>
      <c r="H97" s="168">
        <f t="shared" si="13"/>
        <v>3.2068165673566747E-2</v>
      </c>
      <c r="J97" s="104"/>
      <c r="K97" s="104"/>
    </row>
    <row r="98" spans="1:11" ht="15" customHeight="1">
      <c r="A98" s="103">
        <v>88</v>
      </c>
      <c r="B98" s="106" t="s">
        <v>89</v>
      </c>
      <c r="C98" s="213">
        <f>'Баландина по Усовой'!C98</f>
        <v>9</v>
      </c>
      <c r="D98" s="96">
        <f>'Баландина по Усовой'!D98</f>
        <v>228784.91</v>
      </c>
      <c r="E98" s="213">
        <f>Расход!E98</f>
        <v>5</v>
      </c>
      <c r="F98" s="80">
        <f>Расход!F98</f>
        <v>4220</v>
      </c>
      <c r="G98" s="167">
        <f t="shared" si="12"/>
        <v>0.55555555555555558</v>
      </c>
      <c r="H98" s="168">
        <f t="shared" si="13"/>
        <v>1.8445272461369937E-2</v>
      </c>
      <c r="J98" s="104"/>
      <c r="K98" s="104"/>
    </row>
    <row r="99" spans="1:11" ht="15" customHeight="1">
      <c r="A99" s="103">
        <v>89</v>
      </c>
      <c r="B99" s="106" t="s">
        <v>90</v>
      </c>
      <c r="C99" s="213">
        <f>'Баландина по Усовой'!C99</f>
        <v>3</v>
      </c>
      <c r="D99" s="96">
        <f>'Баландина по Усовой'!D99</f>
        <v>17386.46</v>
      </c>
      <c r="E99" s="213">
        <f>Расход!E99</f>
        <v>5</v>
      </c>
      <c r="F99" s="80">
        <f>Расход!F99</f>
        <v>104090.66</v>
      </c>
      <c r="G99" s="167">
        <f t="shared" si="12"/>
        <v>1.6666666666666667</v>
      </c>
      <c r="H99" s="168">
        <f t="shared" si="13"/>
        <v>5.986880595589902</v>
      </c>
      <c r="J99" s="104"/>
      <c r="K99" s="104"/>
    </row>
    <row r="100" spans="1:11" ht="15.75" customHeight="1">
      <c r="A100" s="105"/>
      <c r="B100" s="20" t="s">
        <v>91</v>
      </c>
      <c r="C100" s="217">
        <f>SUM(C89:C99)</f>
        <v>67</v>
      </c>
      <c r="D100" s="100">
        <f>SUM(D89:D99)</f>
        <v>704181.99999999988</v>
      </c>
      <c r="E100" s="215">
        <f>Расход!E100</f>
        <v>46</v>
      </c>
      <c r="F100" s="67">
        <f>SUM(F89:F99)</f>
        <v>310561.08999999997</v>
      </c>
      <c r="G100" s="163">
        <f t="shared" si="12"/>
        <v>0.68656716417910446</v>
      </c>
      <c r="H100" s="164">
        <f t="shared" si="13"/>
        <v>0.44102389723111357</v>
      </c>
      <c r="J100" s="104"/>
      <c r="K100" s="104"/>
    </row>
    <row r="101" spans="1:11" ht="15" customHeight="1">
      <c r="A101" s="103">
        <v>90</v>
      </c>
      <c r="B101" s="106" t="s">
        <v>104</v>
      </c>
      <c r="C101" s="213">
        <f>'Баландина по Усовой'!C101</f>
        <v>0</v>
      </c>
      <c r="D101" s="96">
        <f>'Баландина по Усовой'!D101</f>
        <v>1068.22</v>
      </c>
      <c r="E101" s="213">
        <f>Расход!E101</f>
        <v>0</v>
      </c>
      <c r="F101" s="80">
        <f>Расход!F101</f>
        <v>0</v>
      </c>
      <c r="G101" s="167" t="s">
        <v>114</v>
      </c>
      <c r="H101" s="168" t="s">
        <v>114</v>
      </c>
      <c r="J101" s="104"/>
      <c r="K101" s="104"/>
    </row>
    <row r="102" spans="1:11" ht="15" customHeight="1">
      <c r="A102" s="105"/>
      <c r="B102" s="20" t="s">
        <v>93</v>
      </c>
      <c r="C102" s="217">
        <f>'Баландина по Усовой'!C102</f>
        <v>0</v>
      </c>
      <c r="D102" s="100">
        <f>'Баландина по Усовой'!D102</f>
        <v>1068.22</v>
      </c>
      <c r="E102" s="215">
        <f>Расход!E102</f>
        <v>0</v>
      </c>
      <c r="F102" s="67">
        <f>F101</f>
        <v>0</v>
      </c>
      <c r="G102" s="163" t="s">
        <v>114</v>
      </c>
      <c r="H102" s="164" t="s">
        <v>114</v>
      </c>
      <c r="J102" s="104"/>
      <c r="K102" s="104"/>
    </row>
    <row r="103" spans="1:11" ht="15" customHeight="1">
      <c r="A103" s="109"/>
      <c r="B103" s="20" t="s">
        <v>111</v>
      </c>
      <c r="C103" s="218">
        <f>C101+C100+C88+C77+C70+C55+C47+C34+C22</f>
        <v>6633</v>
      </c>
      <c r="D103" s="100">
        <f>D22+D34+D47+D55+D70+D77+D88+D100+D101</f>
        <v>56200763.61999999</v>
      </c>
      <c r="E103" s="216">
        <f>Расход!E103</f>
        <v>6307</v>
      </c>
      <c r="F103" s="66">
        <f>F22+F34+F47+F55+F70+F77+F88+F100+F102</f>
        <v>199102986.74000001</v>
      </c>
      <c r="G103" s="163">
        <f>E103/C103</f>
        <v>0.95085180159807026</v>
      </c>
      <c r="H103" s="164">
        <f>F103/D103</f>
        <v>3.5427096344496261</v>
      </c>
      <c r="J103" s="104"/>
      <c r="K103" s="104"/>
    </row>
    <row r="104" spans="1:11">
      <c r="A104" s="110"/>
      <c r="B104" s="111"/>
      <c r="C104" s="87"/>
      <c r="E104" s="89"/>
      <c r="F104" s="90"/>
      <c r="G104" s="91"/>
    </row>
    <row r="105" spans="1:11" s="58" customFormat="1" ht="18">
      <c r="A105" s="55"/>
      <c r="B105" s="56" t="s">
        <v>159</v>
      </c>
      <c r="C105" s="295" t="s">
        <v>115</v>
      </c>
      <c r="D105" s="295"/>
      <c r="E105" s="295"/>
      <c r="F105" s="57" t="s">
        <v>160</v>
      </c>
      <c r="G105" s="60"/>
      <c r="H105" s="77"/>
    </row>
    <row r="106" spans="1:11">
      <c r="A106" s="110"/>
      <c r="B106" s="111"/>
      <c r="C106" s="87"/>
    </row>
    <row r="107" spans="1:11">
      <c r="A107" s="110"/>
      <c r="B107" s="111"/>
      <c r="C107" s="87"/>
    </row>
    <row r="108" spans="1:11">
      <c r="A108" s="110"/>
      <c r="B108" s="111"/>
      <c r="C108" s="87"/>
      <c r="D108" s="72"/>
      <c r="E108" s="84"/>
      <c r="F108" s="87"/>
      <c r="G108" s="87"/>
      <c r="H108" s="104"/>
    </row>
    <row r="109" spans="1:11">
      <c r="A109" s="110"/>
      <c r="B109" s="111"/>
      <c r="C109" s="87"/>
      <c r="E109" s="117"/>
      <c r="F109" s="117"/>
    </row>
    <row r="110" spans="1:11">
      <c r="A110" s="110"/>
      <c r="B110" s="111"/>
      <c r="C110" s="87"/>
    </row>
    <row r="111" spans="1:11">
      <c r="A111" s="110"/>
      <c r="B111" s="111"/>
      <c r="C111" s="87"/>
    </row>
    <row r="112" spans="1:11">
      <c r="A112" s="110"/>
      <c r="B112" s="111"/>
      <c r="C112" s="87"/>
    </row>
    <row r="113" spans="1:3">
      <c r="A113" s="110"/>
      <c r="B113" s="111"/>
      <c r="C113" s="87"/>
    </row>
    <row r="114" spans="1:3">
      <c r="A114" s="110"/>
      <c r="B114" s="111"/>
      <c r="C114" s="87"/>
    </row>
    <row r="115" spans="1:3">
      <c r="A115" s="110"/>
      <c r="B115" s="111"/>
      <c r="C115" s="87"/>
    </row>
    <row r="116" spans="1:3">
      <c r="A116" s="110"/>
      <c r="B116" s="111"/>
      <c r="C116" s="87"/>
    </row>
    <row r="117" spans="1:3">
      <c r="A117" s="110"/>
      <c r="B117" s="111"/>
      <c r="C117" s="87"/>
    </row>
    <row r="118" spans="1:3">
      <c r="A118" s="110"/>
      <c r="B118" s="111"/>
      <c r="C118" s="87"/>
    </row>
    <row r="119" spans="1:3">
      <c r="A119" s="110"/>
      <c r="B119" s="111"/>
      <c r="C119" s="87"/>
    </row>
    <row r="120" spans="1:3">
      <c r="A120" s="110"/>
      <c r="B120" s="111"/>
      <c r="C120" s="87"/>
    </row>
    <row r="121" spans="1:3">
      <c r="A121" s="110"/>
      <c r="B121" s="111"/>
      <c r="C121" s="87"/>
    </row>
    <row r="122" spans="1:3">
      <c r="A122" s="110"/>
      <c r="B122" s="111"/>
      <c r="C122" s="87"/>
    </row>
    <row r="123" spans="1:3">
      <c r="A123" s="110"/>
      <c r="B123" s="111"/>
      <c r="C123" s="87"/>
    </row>
    <row r="124" spans="1:3">
      <c r="A124" s="110"/>
      <c r="B124" s="111"/>
      <c r="C124" s="87"/>
    </row>
    <row r="125" spans="1:3">
      <c r="A125" s="110"/>
      <c r="B125" s="111"/>
      <c r="C125" s="87"/>
    </row>
    <row r="126" spans="1:3">
      <c r="A126" s="110"/>
      <c r="B126" s="111"/>
      <c r="C126" s="87"/>
    </row>
    <row r="127" spans="1:3">
      <c r="A127" s="110"/>
      <c r="B127" s="111"/>
      <c r="C127" s="87"/>
    </row>
    <row r="128" spans="1:3">
      <c r="A128" s="110"/>
      <c r="B128" s="111"/>
      <c r="C128" s="87"/>
    </row>
    <row r="129" spans="1:3">
      <c r="A129" s="110"/>
      <c r="B129" s="111"/>
      <c r="C129" s="87"/>
    </row>
    <row r="130" spans="1:3">
      <c r="A130" s="110"/>
      <c r="B130" s="111"/>
      <c r="C130" s="87"/>
    </row>
    <row r="131" spans="1:3">
      <c r="A131" s="110"/>
      <c r="B131" s="111"/>
      <c r="C131" s="87"/>
    </row>
    <row r="132" spans="1:3">
      <c r="A132" s="110"/>
      <c r="B132" s="111"/>
      <c r="C132" s="87"/>
    </row>
    <row r="133" spans="1:3">
      <c r="A133" s="110"/>
      <c r="B133" s="111"/>
      <c r="C133" s="87"/>
    </row>
    <row r="134" spans="1:3">
      <c r="A134" s="110"/>
      <c r="B134" s="111"/>
      <c r="C134" s="87"/>
    </row>
    <row r="135" spans="1:3">
      <c r="A135" s="110"/>
      <c r="B135" s="111"/>
      <c r="C135" s="87"/>
    </row>
    <row r="136" spans="1:3">
      <c r="A136" s="110"/>
      <c r="B136" s="111"/>
      <c r="C136" s="87"/>
    </row>
    <row r="137" spans="1:3">
      <c r="A137" s="110"/>
      <c r="B137" s="111"/>
      <c r="C137" s="87"/>
    </row>
    <row r="138" spans="1:3">
      <c r="A138" s="110"/>
      <c r="B138" s="111"/>
      <c r="C138" s="87"/>
    </row>
    <row r="139" spans="1:3">
      <c r="A139" s="110"/>
      <c r="B139" s="111"/>
      <c r="C139" s="87"/>
    </row>
    <row r="140" spans="1:3">
      <c r="A140" s="110"/>
      <c r="B140" s="111"/>
      <c r="C140" s="87"/>
    </row>
    <row r="141" spans="1:3">
      <c r="A141" s="110"/>
      <c r="B141" s="111"/>
      <c r="C141" s="87"/>
    </row>
    <row r="142" spans="1:3">
      <c r="A142" s="110"/>
      <c r="B142" s="111"/>
      <c r="C142" s="87"/>
    </row>
    <row r="143" spans="1:3">
      <c r="A143" s="110"/>
      <c r="B143" s="111"/>
      <c r="C143" s="87"/>
    </row>
    <row r="144" spans="1:3">
      <c r="A144" s="110"/>
      <c r="B144" s="111"/>
      <c r="C144" s="87"/>
    </row>
    <row r="145" spans="1:3">
      <c r="A145" s="110"/>
      <c r="B145" s="111"/>
      <c r="C145" s="87"/>
    </row>
    <row r="146" spans="1:3">
      <c r="A146" s="110"/>
      <c r="B146" s="111"/>
      <c r="C146" s="87"/>
    </row>
    <row r="147" spans="1:3">
      <c r="A147" s="110"/>
      <c r="B147" s="111"/>
      <c r="C147" s="87"/>
    </row>
    <row r="148" spans="1:3">
      <c r="A148" s="110"/>
      <c r="B148" s="111"/>
      <c r="C148" s="87"/>
    </row>
    <row r="149" spans="1:3">
      <c r="A149" s="110"/>
      <c r="B149" s="111"/>
      <c r="C149" s="87"/>
    </row>
    <row r="150" spans="1:3">
      <c r="A150" s="110"/>
      <c r="B150" s="111"/>
      <c r="C150" s="87"/>
    </row>
    <row r="151" spans="1:3">
      <c r="A151" s="110"/>
      <c r="B151" s="111"/>
      <c r="C151" s="87"/>
    </row>
    <row r="152" spans="1:3">
      <c r="A152" s="110"/>
      <c r="B152" s="111"/>
      <c r="C152" s="87"/>
    </row>
    <row r="153" spans="1:3">
      <c r="A153" s="110"/>
      <c r="B153" s="111"/>
      <c r="C153" s="87"/>
    </row>
    <row r="154" spans="1:3">
      <c r="A154" s="110"/>
      <c r="B154" s="111"/>
      <c r="C154" s="87"/>
    </row>
    <row r="155" spans="1:3">
      <c r="A155" s="110"/>
      <c r="B155" s="111"/>
      <c r="C155" s="87"/>
    </row>
    <row r="156" spans="1:3">
      <c r="A156" s="110"/>
      <c r="B156" s="111"/>
      <c r="C156" s="87"/>
    </row>
    <row r="157" spans="1:3">
      <c r="A157" s="110"/>
      <c r="B157" s="111"/>
      <c r="C157" s="87"/>
    </row>
    <row r="158" spans="1:3">
      <c r="A158" s="110"/>
      <c r="B158" s="111"/>
      <c r="C158" s="87"/>
    </row>
    <row r="159" spans="1:3">
      <c r="A159" s="110"/>
      <c r="B159" s="111"/>
      <c r="C159" s="87"/>
    </row>
    <row r="160" spans="1:3">
      <c r="A160" s="110"/>
      <c r="B160" s="111"/>
      <c r="C160" s="87"/>
    </row>
    <row r="161" spans="1:3">
      <c r="A161" s="110"/>
      <c r="B161" s="111"/>
      <c r="C161" s="87"/>
    </row>
    <row r="162" spans="1:3">
      <c r="A162" s="110"/>
      <c r="B162" s="111"/>
      <c r="C162" s="87"/>
    </row>
    <row r="163" spans="1:3">
      <c r="A163" s="110"/>
      <c r="B163" s="111"/>
      <c r="C163" s="87"/>
    </row>
    <row r="164" spans="1:3">
      <c r="A164" s="110"/>
      <c r="B164" s="111"/>
      <c r="C164" s="87"/>
    </row>
    <row r="165" spans="1:3">
      <c r="A165" s="110"/>
      <c r="B165" s="111"/>
      <c r="C165" s="87"/>
    </row>
    <row r="166" spans="1:3">
      <c r="A166" s="110"/>
      <c r="B166" s="111"/>
      <c r="C166" s="87"/>
    </row>
    <row r="167" spans="1:3">
      <c r="A167" s="110"/>
      <c r="B167" s="111"/>
      <c r="C167" s="87"/>
    </row>
    <row r="168" spans="1:3">
      <c r="A168" s="110"/>
      <c r="B168" s="111"/>
      <c r="C168" s="87"/>
    </row>
    <row r="169" spans="1:3">
      <c r="A169" s="110"/>
      <c r="B169" s="111"/>
      <c r="C169" s="87"/>
    </row>
    <row r="170" spans="1:3">
      <c r="A170" s="110"/>
      <c r="B170" s="111"/>
      <c r="C170" s="87"/>
    </row>
    <row r="171" spans="1:3">
      <c r="A171" s="110"/>
      <c r="B171" s="111"/>
      <c r="C171" s="87"/>
    </row>
    <row r="172" spans="1:3">
      <c r="A172" s="110"/>
      <c r="B172" s="111"/>
      <c r="C172" s="87"/>
    </row>
    <row r="173" spans="1:3">
      <c r="A173" s="110"/>
      <c r="B173" s="111"/>
      <c r="C173" s="87"/>
    </row>
    <row r="174" spans="1:3">
      <c r="A174" s="110"/>
      <c r="B174" s="111"/>
      <c r="C174" s="87"/>
    </row>
    <row r="175" spans="1:3">
      <c r="A175" s="110"/>
      <c r="B175" s="111"/>
      <c r="C175" s="87"/>
    </row>
    <row r="176" spans="1:3">
      <c r="A176" s="110"/>
      <c r="B176" s="111"/>
      <c r="C176" s="87"/>
    </row>
    <row r="177" spans="1:3">
      <c r="A177" s="110"/>
      <c r="B177" s="111"/>
      <c r="C177" s="87"/>
    </row>
    <row r="178" spans="1:3">
      <c r="A178" s="110"/>
      <c r="B178" s="111"/>
      <c r="C178" s="87"/>
    </row>
    <row r="179" spans="1:3">
      <c r="A179" s="110"/>
      <c r="B179" s="111"/>
      <c r="C179" s="87"/>
    </row>
    <row r="180" spans="1:3">
      <c r="A180" s="110"/>
      <c r="B180" s="111"/>
      <c r="C180" s="87"/>
    </row>
    <row r="181" spans="1:3">
      <c r="A181" s="110"/>
      <c r="B181" s="111"/>
      <c r="C181" s="87"/>
    </row>
    <row r="182" spans="1:3">
      <c r="A182" s="110"/>
      <c r="B182" s="111"/>
      <c r="C182" s="87"/>
    </row>
    <row r="183" spans="1:3">
      <c r="A183" s="110"/>
      <c r="B183" s="111"/>
      <c r="C183" s="87"/>
    </row>
    <row r="184" spans="1:3">
      <c r="A184" s="110"/>
      <c r="B184" s="111"/>
      <c r="C184" s="87"/>
    </row>
    <row r="185" spans="1:3">
      <c r="A185" s="110"/>
      <c r="B185" s="111"/>
      <c r="C185" s="87"/>
    </row>
    <row r="186" spans="1:3">
      <c r="A186" s="110"/>
      <c r="B186" s="111"/>
      <c r="C186" s="87"/>
    </row>
    <row r="187" spans="1:3">
      <c r="A187" s="110"/>
      <c r="B187" s="111"/>
      <c r="C187" s="87"/>
    </row>
    <row r="188" spans="1:3">
      <c r="A188" s="110"/>
      <c r="B188" s="111"/>
      <c r="C188" s="87"/>
    </row>
    <row r="189" spans="1:3">
      <c r="A189" s="110"/>
      <c r="B189" s="111"/>
      <c r="C189" s="87"/>
    </row>
    <row r="190" spans="1:3">
      <c r="A190" s="110"/>
      <c r="B190" s="111"/>
      <c r="C190" s="87"/>
    </row>
    <row r="191" spans="1:3">
      <c r="A191" s="110"/>
      <c r="B191" s="111"/>
      <c r="C191" s="87"/>
    </row>
    <row r="192" spans="1:3">
      <c r="A192" s="110"/>
      <c r="B192" s="111"/>
      <c r="C192" s="87"/>
    </row>
    <row r="193" spans="1:3">
      <c r="A193" s="110"/>
      <c r="B193" s="111"/>
      <c r="C193" s="87"/>
    </row>
    <row r="194" spans="1:3">
      <c r="A194" s="110"/>
      <c r="B194" s="111"/>
      <c r="C194" s="87"/>
    </row>
    <row r="195" spans="1:3">
      <c r="A195" s="110"/>
      <c r="B195" s="111"/>
      <c r="C195" s="87"/>
    </row>
    <row r="196" spans="1:3">
      <c r="A196" s="110"/>
      <c r="B196" s="111"/>
      <c r="C196" s="87"/>
    </row>
    <row r="197" spans="1:3">
      <c r="A197" s="110"/>
      <c r="B197" s="111"/>
      <c r="C197" s="87"/>
    </row>
    <row r="198" spans="1:3">
      <c r="A198" s="110"/>
      <c r="B198" s="111"/>
      <c r="C198" s="87"/>
    </row>
  </sheetData>
  <mergeCells count="8">
    <mergeCell ref="C105:E105"/>
    <mergeCell ref="A1:H1"/>
    <mergeCell ref="H2:H3"/>
    <mergeCell ref="A2:A3"/>
    <mergeCell ref="B2:B3"/>
    <mergeCell ref="C2:D2"/>
    <mergeCell ref="E2:F2"/>
    <mergeCell ref="G2:G3"/>
  </mergeCells>
  <pageMargins left="0.70866141732283472" right="0.70866141732283472" top="0" bottom="0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K198"/>
  <sheetViews>
    <sheetView topLeftCell="A49" workbookViewId="0">
      <selection activeCell="C14" sqref="C14"/>
    </sheetView>
  </sheetViews>
  <sheetFormatPr defaultRowHeight="12.75"/>
  <cols>
    <col min="1" max="1" width="6" style="3" customWidth="1"/>
    <col min="2" max="2" width="42.42578125" customWidth="1"/>
    <col min="3" max="3" width="22.42578125" customWidth="1"/>
    <col min="4" max="4" width="22.42578125" style="97" customWidth="1"/>
    <col min="5" max="5" width="22.42578125" style="85" customWidth="1"/>
    <col min="6" max="6" width="22.42578125" style="86" customWidth="1"/>
    <col min="7" max="7" width="21.85546875" style="3" customWidth="1"/>
    <col min="8" max="8" width="19" style="46" customWidth="1"/>
    <col min="9" max="9" width="27.5703125" style="44" customWidth="1"/>
    <col min="10" max="11" width="12.7109375" customWidth="1"/>
  </cols>
  <sheetData>
    <row r="1" spans="1:11" ht="61.5" customHeight="1">
      <c r="A1" s="306" t="s">
        <v>195</v>
      </c>
      <c r="B1" s="306"/>
      <c r="C1" s="306"/>
      <c r="D1" s="306"/>
      <c r="E1" s="306"/>
      <c r="F1" s="306"/>
      <c r="G1" s="306"/>
      <c r="H1" s="306"/>
    </row>
    <row r="2" spans="1:11" ht="76.900000000000006" customHeight="1">
      <c r="A2" s="300" t="s">
        <v>96</v>
      </c>
      <c r="B2" s="300" t="s">
        <v>0</v>
      </c>
      <c r="C2" s="313" t="s">
        <v>206</v>
      </c>
      <c r="D2" s="314"/>
      <c r="E2" s="316" t="s">
        <v>196</v>
      </c>
      <c r="F2" s="316"/>
      <c r="G2" s="317" t="s">
        <v>108</v>
      </c>
      <c r="H2" s="319" t="s">
        <v>110</v>
      </c>
    </row>
    <row r="3" spans="1:11" ht="54.75" customHeight="1">
      <c r="A3" s="301"/>
      <c r="B3" s="301"/>
      <c r="C3" s="28" t="s">
        <v>94</v>
      </c>
      <c r="D3" s="26" t="s">
        <v>97</v>
      </c>
      <c r="E3" s="79" t="s">
        <v>94</v>
      </c>
      <c r="F3" s="88" t="s">
        <v>95</v>
      </c>
      <c r="G3" s="318"/>
      <c r="H3" s="319"/>
    </row>
    <row r="4" spans="1:11" ht="15" customHeight="1">
      <c r="A4" s="4">
        <v>1</v>
      </c>
      <c r="B4" s="9" t="s">
        <v>1</v>
      </c>
      <c r="C4" s="213">
        <f>ПОСТУПИВШИЕ!E4</f>
        <v>30</v>
      </c>
      <c r="D4" s="96">
        <f>ПОСТУПИВШИЕ!F4</f>
        <v>122765.56000000001</v>
      </c>
      <c r="E4" s="213">
        <f>Расход!E4</f>
        <v>39</v>
      </c>
      <c r="F4" s="80">
        <f>Расход!F4</f>
        <v>260165.71000000002</v>
      </c>
      <c r="G4" s="167">
        <f>E4/C4*100</f>
        <v>130</v>
      </c>
      <c r="H4" s="168">
        <f>F4/D4*100</f>
        <v>211.92076181626183</v>
      </c>
      <c r="J4" s="45"/>
      <c r="K4" s="45"/>
    </row>
    <row r="5" spans="1:11" ht="15" customHeight="1">
      <c r="A5" s="4">
        <v>2</v>
      </c>
      <c r="B5" s="9" t="s">
        <v>2</v>
      </c>
      <c r="C5" s="213">
        <f>ПОСТУПИВШИЕ!E5</f>
        <v>12</v>
      </c>
      <c r="D5" s="96">
        <f>ПОСТУПИВШИЕ!F5</f>
        <v>35002.160000000003</v>
      </c>
      <c r="E5" s="213">
        <f>Расход!E5</f>
        <v>1</v>
      </c>
      <c r="F5" s="80">
        <f>Расход!F5</f>
        <v>57936.37</v>
      </c>
      <c r="G5" s="167">
        <f t="shared" ref="G5:G69" si="0">E5/C5*100</f>
        <v>8.3333333333333321</v>
      </c>
      <c r="H5" s="168">
        <f t="shared" ref="H5:H69" si="1">F5/D5*100</f>
        <v>165.52227062558424</v>
      </c>
      <c r="J5" s="45"/>
      <c r="K5" s="45"/>
    </row>
    <row r="6" spans="1:11" ht="15" customHeight="1">
      <c r="A6" s="4">
        <v>3</v>
      </c>
      <c r="B6" s="9" t="s">
        <v>3</v>
      </c>
      <c r="C6" s="213">
        <f>ПОСТУПИВШИЕ!E6</f>
        <v>16</v>
      </c>
      <c r="D6" s="96">
        <f>ПОСТУПИВШИЕ!F6</f>
        <v>116346.70000000001</v>
      </c>
      <c r="E6" s="213">
        <f>Расход!E6</f>
        <v>31</v>
      </c>
      <c r="F6" s="80">
        <f>Расход!F6</f>
        <v>117818.01999999999</v>
      </c>
      <c r="G6" s="167">
        <f t="shared" si="0"/>
        <v>193.75</v>
      </c>
      <c r="H6" s="168">
        <f t="shared" si="1"/>
        <v>101.26459968353205</v>
      </c>
      <c r="J6" s="45"/>
      <c r="K6" s="45"/>
    </row>
    <row r="7" spans="1:11" ht="15" customHeight="1">
      <c r="A7" s="4">
        <v>4</v>
      </c>
      <c r="B7" s="9" t="s">
        <v>4</v>
      </c>
      <c r="C7" s="213">
        <f>ПОСТУПИВШИЕ!E7</f>
        <v>46</v>
      </c>
      <c r="D7" s="96">
        <f>ПОСТУПИВШИЕ!F7</f>
        <v>243224.45</v>
      </c>
      <c r="E7" s="213">
        <f>Расход!E7</f>
        <v>228</v>
      </c>
      <c r="F7" s="80">
        <f>Расход!F7</f>
        <v>7376014.6200000001</v>
      </c>
      <c r="G7" s="167">
        <f t="shared" si="0"/>
        <v>495.65217391304344</v>
      </c>
      <c r="H7" s="168">
        <f t="shared" si="1"/>
        <v>3032.5958677262915</v>
      </c>
      <c r="J7" s="45"/>
      <c r="K7" s="45"/>
    </row>
    <row r="8" spans="1:11" ht="15" customHeight="1">
      <c r="A8" s="4">
        <v>5</v>
      </c>
      <c r="B8" s="9" t="s">
        <v>5</v>
      </c>
      <c r="C8" s="213">
        <f>ПОСТУПИВШИЕ!E8</f>
        <v>1357</v>
      </c>
      <c r="D8" s="96">
        <f>ПОСТУПИВШИЕ!F8</f>
        <v>4912212.1899999995</v>
      </c>
      <c r="E8" s="213">
        <f>Расход!E8</f>
        <v>1975</v>
      </c>
      <c r="F8" s="80">
        <f>Расход!F8</f>
        <v>107142173.73</v>
      </c>
      <c r="G8" s="167">
        <f t="shared" si="0"/>
        <v>145.54163596168019</v>
      </c>
      <c r="H8" s="168">
        <f t="shared" si="1"/>
        <v>2181.1389570693609</v>
      </c>
      <c r="J8" s="45"/>
      <c r="K8" s="45"/>
    </row>
    <row r="9" spans="1:11" ht="15" customHeight="1">
      <c r="A9" s="4">
        <v>6</v>
      </c>
      <c r="B9" s="9" t="s">
        <v>6</v>
      </c>
      <c r="C9" s="213">
        <f>ПОСТУПИВШИЕ!E9</f>
        <v>13</v>
      </c>
      <c r="D9" s="96">
        <f>ПОСТУПИВШИЕ!F9</f>
        <v>155083.36000000002</v>
      </c>
      <c r="E9" s="213">
        <f>Расход!E9</f>
        <v>7</v>
      </c>
      <c r="F9" s="80">
        <f>Расход!F9</f>
        <v>149531.07999999999</v>
      </c>
      <c r="G9" s="167">
        <f t="shared" si="0"/>
        <v>53.846153846153847</v>
      </c>
      <c r="H9" s="168">
        <f t="shared" si="1"/>
        <v>96.419809320613098</v>
      </c>
      <c r="J9" s="45"/>
      <c r="K9" s="45"/>
    </row>
    <row r="10" spans="1:11" ht="15" customHeight="1">
      <c r="A10" s="4">
        <v>7</v>
      </c>
      <c r="B10" s="9" t="s">
        <v>7</v>
      </c>
      <c r="C10" s="213">
        <f>ПОСТУПИВШИЕ!E10</f>
        <v>8</v>
      </c>
      <c r="D10" s="96">
        <f>ПОСТУПИВШИЕ!F10</f>
        <v>26504.239999999998</v>
      </c>
      <c r="E10" s="213">
        <f>Расход!E10</f>
        <v>74</v>
      </c>
      <c r="F10" s="80">
        <f>Расход!F10</f>
        <v>843337.15</v>
      </c>
      <c r="G10" s="167">
        <f t="shared" si="0"/>
        <v>925</v>
      </c>
      <c r="H10" s="168">
        <f t="shared" si="1"/>
        <v>3181.8952363848202</v>
      </c>
      <c r="J10" s="45"/>
      <c r="K10" s="45"/>
    </row>
    <row r="11" spans="1:11" ht="15" customHeight="1">
      <c r="A11" s="4">
        <v>8</v>
      </c>
      <c r="B11" s="9" t="s">
        <v>8</v>
      </c>
      <c r="C11" s="213">
        <f>ПОСТУПИВШИЕ!E11</f>
        <v>5</v>
      </c>
      <c r="D11" s="96">
        <f>ПОСТУПИВШИЕ!F11</f>
        <v>17541.330000000002</v>
      </c>
      <c r="E11" s="213">
        <f>Расход!E11</f>
        <v>5</v>
      </c>
      <c r="F11" s="80">
        <f>Расход!F11</f>
        <v>28700.61</v>
      </c>
      <c r="G11" s="167">
        <f>E11/C11*100</f>
        <v>100</v>
      </c>
      <c r="H11" s="168">
        <f t="shared" si="1"/>
        <v>163.61706894517118</v>
      </c>
      <c r="J11" s="45"/>
      <c r="K11" s="45"/>
    </row>
    <row r="12" spans="1:11" ht="15" customHeight="1">
      <c r="A12" s="4">
        <v>9</v>
      </c>
      <c r="B12" s="9" t="s">
        <v>9</v>
      </c>
      <c r="C12" s="213">
        <f>ПОСТУПИВШИЕ!E12</f>
        <v>12</v>
      </c>
      <c r="D12" s="96">
        <f>ПОСТУПИВШИЕ!F12</f>
        <v>132055.75</v>
      </c>
      <c r="E12" s="213">
        <f>Расход!E12</f>
        <v>22</v>
      </c>
      <c r="F12" s="80">
        <f>Расход!F12</f>
        <v>102889.76000000001</v>
      </c>
      <c r="G12" s="167">
        <f>E12/C12*100</f>
        <v>183.33333333333331</v>
      </c>
      <c r="H12" s="168">
        <f t="shared" si="1"/>
        <v>77.913881069169662</v>
      </c>
      <c r="J12" s="45"/>
      <c r="K12" s="45"/>
    </row>
    <row r="13" spans="1:11" ht="15" customHeight="1">
      <c r="A13" s="4">
        <v>10</v>
      </c>
      <c r="B13" s="9" t="s">
        <v>10</v>
      </c>
      <c r="C13" s="213">
        <f>ПОСТУПИВШИЕ!E13</f>
        <v>71</v>
      </c>
      <c r="D13" s="96">
        <f>ПОСТУПИВШИЕ!F13</f>
        <v>1009761.5</v>
      </c>
      <c r="E13" s="213">
        <f>Расход!E13</f>
        <v>8</v>
      </c>
      <c r="F13" s="80">
        <f>Расход!F13</f>
        <v>105535.53</v>
      </c>
      <c r="G13" s="167">
        <f t="shared" si="0"/>
        <v>11.267605633802818</v>
      </c>
      <c r="H13" s="168">
        <f t="shared" si="1"/>
        <v>10.451530386135737</v>
      </c>
      <c r="J13" s="45"/>
      <c r="K13" s="45"/>
    </row>
    <row r="14" spans="1:11" ht="15" customHeight="1">
      <c r="A14" s="4">
        <v>11</v>
      </c>
      <c r="B14" s="9" t="s">
        <v>11</v>
      </c>
      <c r="C14" s="213">
        <f>ПОСТУПИВШИЕ!E14</f>
        <v>792</v>
      </c>
      <c r="D14" s="96">
        <f>ПОСТУПИВШИЕ!F14</f>
        <v>2101390.94</v>
      </c>
      <c r="E14" s="213">
        <f>Расход!E14</f>
        <v>1162</v>
      </c>
      <c r="F14" s="80">
        <f>Расход!F14</f>
        <v>35017994</v>
      </c>
      <c r="G14" s="167">
        <f t="shared" si="0"/>
        <v>146.71717171717171</v>
      </c>
      <c r="H14" s="168">
        <f t="shared" si="1"/>
        <v>1666.4197667093777</v>
      </c>
      <c r="J14" s="45"/>
      <c r="K14" s="45"/>
    </row>
    <row r="15" spans="1:11" ht="15" customHeight="1">
      <c r="A15" s="4">
        <v>12</v>
      </c>
      <c r="B15" s="9" t="s">
        <v>12</v>
      </c>
      <c r="C15" s="213">
        <f>ПОСТУПИВШИЕ!E15</f>
        <v>13</v>
      </c>
      <c r="D15" s="96">
        <f>ПОСТУПИВШИЕ!F15</f>
        <v>225757.28000000003</v>
      </c>
      <c r="E15" s="213">
        <f>Расход!E15</f>
        <v>8</v>
      </c>
      <c r="F15" s="80">
        <f>Расход!F15</f>
        <v>119711.93</v>
      </c>
      <c r="G15" s="167">
        <f t="shared" si="0"/>
        <v>61.53846153846154</v>
      </c>
      <c r="H15" s="168">
        <f t="shared" si="1"/>
        <v>53.026830408303994</v>
      </c>
      <c r="J15" s="45"/>
      <c r="K15" s="45"/>
    </row>
    <row r="16" spans="1:11" ht="15" customHeight="1">
      <c r="A16" s="4">
        <v>13</v>
      </c>
      <c r="B16" s="9" t="s">
        <v>13</v>
      </c>
      <c r="C16" s="213">
        <f>ПОСТУПИВШИЕ!E16</f>
        <v>75</v>
      </c>
      <c r="D16" s="96">
        <f>ПОСТУПИВШИЕ!F16</f>
        <v>260486.63</v>
      </c>
      <c r="E16" s="213">
        <f>Расход!E16</f>
        <v>32</v>
      </c>
      <c r="F16" s="80">
        <f>Расход!F16</f>
        <v>547483.76</v>
      </c>
      <c r="G16" s="167">
        <f t="shared" si="0"/>
        <v>42.666666666666671</v>
      </c>
      <c r="H16" s="168">
        <f t="shared" si="1"/>
        <v>210.17729777532153</v>
      </c>
      <c r="J16" s="45"/>
      <c r="K16" s="45"/>
    </row>
    <row r="17" spans="1:11" ht="15" customHeight="1">
      <c r="A17" s="4">
        <v>14</v>
      </c>
      <c r="B17" s="9" t="s">
        <v>14</v>
      </c>
      <c r="C17" s="213">
        <f>ПОСТУПИВШИЕ!E17</f>
        <v>9</v>
      </c>
      <c r="D17" s="96">
        <f>ПОСТУПИВШИЕ!F17</f>
        <v>73909.710000000006</v>
      </c>
      <c r="E17" s="213">
        <f>Расход!E17</f>
        <v>0</v>
      </c>
      <c r="F17" s="80">
        <f>Расход!F17</f>
        <v>0</v>
      </c>
      <c r="G17" s="167">
        <f t="shared" si="0"/>
        <v>0</v>
      </c>
      <c r="H17" s="168">
        <f t="shared" si="1"/>
        <v>0</v>
      </c>
      <c r="J17" s="45"/>
      <c r="K17" s="45"/>
    </row>
    <row r="18" spans="1:11" ht="15" customHeight="1">
      <c r="A18" s="4">
        <v>15</v>
      </c>
      <c r="B18" s="9" t="s">
        <v>15</v>
      </c>
      <c r="C18" s="213">
        <f>ПОСТУПИВШИЕ!E18</f>
        <v>348</v>
      </c>
      <c r="D18" s="96">
        <f>ПОСТУПИВШИЕ!F18</f>
        <v>2261108.36</v>
      </c>
      <c r="E18" s="213">
        <f>Расход!E18</f>
        <v>122</v>
      </c>
      <c r="F18" s="80">
        <f>Расход!F18</f>
        <v>521205.49</v>
      </c>
      <c r="G18" s="167">
        <f t="shared" si="0"/>
        <v>35.05747126436782</v>
      </c>
      <c r="H18" s="168">
        <f t="shared" si="1"/>
        <v>23.050885097784523</v>
      </c>
      <c r="J18" s="45"/>
      <c r="K18" s="45"/>
    </row>
    <row r="19" spans="1:11" ht="15" customHeight="1">
      <c r="A19" s="4">
        <v>16</v>
      </c>
      <c r="B19" s="9" t="s">
        <v>16</v>
      </c>
      <c r="C19" s="213">
        <f>ПОСТУПИВШИЕ!E19</f>
        <v>11</v>
      </c>
      <c r="D19" s="96">
        <f>ПОСТУПИВШИЕ!F19</f>
        <v>139168.1</v>
      </c>
      <c r="E19" s="213">
        <f>Расход!E19</f>
        <v>35</v>
      </c>
      <c r="F19" s="80">
        <f>Расход!F19</f>
        <v>208072.56</v>
      </c>
      <c r="G19" s="167">
        <f t="shared" si="0"/>
        <v>318.18181818181819</v>
      </c>
      <c r="H19" s="168">
        <f t="shared" si="1"/>
        <v>149.51167688572309</v>
      </c>
      <c r="J19" s="45"/>
      <c r="K19" s="45"/>
    </row>
    <row r="20" spans="1:11" ht="15" customHeight="1">
      <c r="A20" s="4">
        <v>17</v>
      </c>
      <c r="B20" s="9" t="s">
        <v>17</v>
      </c>
      <c r="C20" s="213">
        <f>ПОСТУПИВШИЕ!E20</f>
        <v>13</v>
      </c>
      <c r="D20" s="96">
        <f>ПОСТУПИВШИЕ!F20</f>
        <v>119732.51999999999</v>
      </c>
      <c r="E20" s="213">
        <f>Расход!E20</f>
        <v>46</v>
      </c>
      <c r="F20" s="80">
        <f>Расход!F20</f>
        <v>243535.95999999996</v>
      </c>
      <c r="G20" s="167">
        <f t="shared" si="0"/>
        <v>353.84615384615381</v>
      </c>
      <c r="H20" s="168">
        <f t="shared" si="1"/>
        <v>203.40001195999213</v>
      </c>
      <c r="J20" s="45"/>
      <c r="K20" s="45"/>
    </row>
    <row r="21" spans="1:11" ht="15" customHeight="1">
      <c r="A21" s="4">
        <v>18</v>
      </c>
      <c r="B21" s="9" t="s">
        <v>18</v>
      </c>
      <c r="C21" s="213">
        <f>ПОСТУПИВШИЕ!E21</f>
        <v>8</v>
      </c>
      <c r="D21" s="96">
        <f>ПОСТУПИВШИЕ!F21</f>
        <v>208705.26</v>
      </c>
      <c r="E21" s="213">
        <f>Расход!E21</f>
        <v>9</v>
      </c>
      <c r="F21" s="80">
        <f>Расход!F21</f>
        <v>55918.78</v>
      </c>
      <c r="G21" s="167">
        <f t="shared" si="0"/>
        <v>112.5</v>
      </c>
      <c r="H21" s="168">
        <f t="shared" si="1"/>
        <v>26.793181925553768</v>
      </c>
      <c r="J21" s="45"/>
      <c r="K21" s="45"/>
    </row>
    <row r="22" spans="1:11" ht="15" customHeight="1">
      <c r="A22" s="18"/>
      <c r="B22" s="19" t="s">
        <v>19</v>
      </c>
      <c r="C22" s="217">
        <f>ПОСТУПИВШИЕ!E22</f>
        <v>2839</v>
      </c>
      <c r="D22" s="100">
        <f>ПОСТУПИВШИЕ!F22</f>
        <v>12160756.039999999</v>
      </c>
      <c r="E22" s="215">
        <f>Расход!E22</f>
        <v>3804</v>
      </c>
      <c r="F22" s="66">
        <f>SUM(F4:F21)</f>
        <v>152898025.06000003</v>
      </c>
      <c r="G22" s="163">
        <f t="shared" si="0"/>
        <v>133.99084184572033</v>
      </c>
      <c r="H22" s="164">
        <f t="shared" si="1"/>
        <v>1257.3069022771058</v>
      </c>
      <c r="J22" s="45"/>
      <c r="K22" s="45"/>
    </row>
    <row r="23" spans="1:11" ht="15" customHeight="1">
      <c r="A23" s="4">
        <v>19</v>
      </c>
      <c r="B23" s="9" t="s">
        <v>20</v>
      </c>
      <c r="C23" s="213">
        <f>ПОСТУПИВШИЕ!E23</f>
        <v>11</v>
      </c>
      <c r="D23" s="96">
        <f>ПОСТУПИВШИЕ!F23</f>
        <v>45472.45</v>
      </c>
      <c r="E23" s="213">
        <f>Расход!E23</f>
        <v>7</v>
      </c>
      <c r="F23" s="80">
        <f>Расход!F23</f>
        <v>30745.41</v>
      </c>
      <c r="G23" s="167">
        <f t="shared" si="0"/>
        <v>63.636363636363633</v>
      </c>
      <c r="H23" s="168">
        <f t="shared" si="1"/>
        <v>67.613269133288398</v>
      </c>
      <c r="J23" s="45"/>
      <c r="K23" s="45"/>
    </row>
    <row r="24" spans="1:11" ht="15" customHeight="1">
      <c r="A24" s="4">
        <v>20</v>
      </c>
      <c r="B24" s="9" t="s">
        <v>21</v>
      </c>
      <c r="C24" s="213">
        <f>ПОСТУПИВШИЕ!E24</f>
        <v>3</v>
      </c>
      <c r="D24" s="96">
        <f>ПОСТУПИВШИЕ!F24</f>
        <v>7848.04</v>
      </c>
      <c r="E24" s="213">
        <f>Расход!E24</f>
        <v>14</v>
      </c>
      <c r="F24" s="80">
        <f>Расход!F24</f>
        <v>22706.04</v>
      </c>
      <c r="G24" s="167">
        <f t="shared" si="0"/>
        <v>466.66666666666669</v>
      </c>
      <c r="H24" s="168">
        <f t="shared" si="1"/>
        <v>289.32115534579339</v>
      </c>
      <c r="J24" s="45"/>
      <c r="K24" s="45"/>
    </row>
    <row r="25" spans="1:11" ht="15" customHeight="1">
      <c r="A25" s="4">
        <v>21</v>
      </c>
      <c r="B25" s="9" t="s">
        <v>22</v>
      </c>
      <c r="C25" s="213">
        <f>ПОСТУПИВШИЕ!E25</f>
        <v>201</v>
      </c>
      <c r="D25" s="96">
        <f>ПОСТУПИВШИЕ!F25</f>
        <v>1007273.76</v>
      </c>
      <c r="E25" s="213">
        <f>Расход!E25</f>
        <v>391</v>
      </c>
      <c r="F25" s="80">
        <f>Расход!F25</f>
        <v>13485694.41</v>
      </c>
      <c r="G25" s="167">
        <f t="shared" si="0"/>
        <v>194.5273631840796</v>
      </c>
      <c r="H25" s="168">
        <f t="shared" si="1"/>
        <v>1338.8311048626938</v>
      </c>
      <c r="J25" s="45"/>
      <c r="K25" s="45"/>
    </row>
    <row r="26" spans="1:11" ht="15" customHeight="1">
      <c r="A26" s="4">
        <v>22</v>
      </c>
      <c r="B26" s="9" t="s">
        <v>23</v>
      </c>
      <c r="C26" s="213">
        <f>ПОСТУПИВШИЕ!E26</f>
        <v>11</v>
      </c>
      <c r="D26" s="96">
        <f>ПОСТУПИВШИЕ!F26</f>
        <v>103233.69</v>
      </c>
      <c r="E26" s="213">
        <f>Расход!E26</f>
        <v>4</v>
      </c>
      <c r="F26" s="80">
        <f>Расход!F26</f>
        <v>12815.81</v>
      </c>
      <c r="G26" s="167">
        <f t="shared" si="0"/>
        <v>36.363636363636367</v>
      </c>
      <c r="H26" s="168">
        <f t="shared" si="1"/>
        <v>12.414367828951962</v>
      </c>
      <c r="J26" s="45"/>
      <c r="K26" s="45"/>
    </row>
    <row r="27" spans="1:11" ht="15" customHeight="1">
      <c r="A27" s="4">
        <v>23</v>
      </c>
      <c r="B27" s="9" t="s">
        <v>24</v>
      </c>
      <c r="C27" s="213">
        <f>ПОСТУПИВШИЕ!E27</f>
        <v>32</v>
      </c>
      <c r="D27" s="96">
        <f>ПОСТУПИВШИЕ!F27</f>
        <v>115931.94</v>
      </c>
      <c r="E27" s="213">
        <f>Расход!E27</f>
        <v>41</v>
      </c>
      <c r="F27" s="80">
        <f>Расход!F27</f>
        <v>339811.52999999997</v>
      </c>
      <c r="G27" s="167">
        <f t="shared" si="0"/>
        <v>128.125</v>
      </c>
      <c r="H27" s="168">
        <f t="shared" si="1"/>
        <v>293.11295058117713</v>
      </c>
      <c r="J27" s="45"/>
      <c r="K27" s="45"/>
    </row>
    <row r="28" spans="1:11" ht="15" customHeight="1">
      <c r="A28" s="4">
        <v>24</v>
      </c>
      <c r="B28" s="9" t="s">
        <v>25</v>
      </c>
      <c r="C28" s="213">
        <f>ПОСТУПИВШИЕ!E28</f>
        <v>54</v>
      </c>
      <c r="D28" s="96">
        <f>ПОСТУПИВШИЕ!F28</f>
        <v>383908.06</v>
      </c>
      <c r="E28" s="213">
        <f>Расход!E28</f>
        <v>12</v>
      </c>
      <c r="F28" s="80">
        <f>Расход!F28</f>
        <v>34953.56</v>
      </c>
      <c r="G28" s="167">
        <f t="shared" si="0"/>
        <v>22.222222222222221</v>
      </c>
      <c r="H28" s="168">
        <f t="shared" si="1"/>
        <v>9.1046694877935099</v>
      </c>
      <c r="J28" s="45"/>
      <c r="K28" s="45"/>
    </row>
    <row r="29" spans="1:11" ht="15" customHeight="1">
      <c r="A29" s="4">
        <v>25</v>
      </c>
      <c r="B29" s="9" t="s">
        <v>26</v>
      </c>
      <c r="C29" s="213">
        <f>ПОСТУПИВШИЕ!E29</f>
        <v>1</v>
      </c>
      <c r="D29" s="96">
        <f>ПОСТУПИВШИЕ!F29</f>
        <v>779.27</v>
      </c>
      <c r="E29" s="213">
        <f>Расход!E29</f>
        <v>0</v>
      </c>
      <c r="F29" s="80">
        <f>Расход!F29</f>
        <v>0</v>
      </c>
      <c r="G29" s="167">
        <f t="shared" si="0"/>
        <v>0</v>
      </c>
      <c r="H29" s="168">
        <f t="shared" si="1"/>
        <v>0</v>
      </c>
      <c r="J29" s="45"/>
      <c r="K29" s="45"/>
    </row>
    <row r="30" spans="1:11" ht="15" customHeight="1">
      <c r="A30" s="4">
        <v>26</v>
      </c>
      <c r="B30" s="9" t="s">
        <v>27</v>
      </c>
      <c r="C30" s="213">
        <f>ПОСТУПИВШИЕ!E30</f>
        <v>5</v>
      </c>
      <c r="D30" s="96">
        <f>ПОСТУПИВШИЕ!F30</f>
        <v>1655.9</v>
      </c>
      <c r="E30" s="213">
        <f>Расход!E30</f>
        <v>8</v>
      </c>
      <c r="F30" s="80">
        <f>Расход!F30</f>
        <v>128890.91</v>
      </c>
      <c r="G30" s="167">
        <f t="shared" si="0"/>
        <v>160</v>
      </c>
      <c r="H30" s="168">
        <f t="shared" si="1"/>
        <v>7783.7375445377138</v>
      </c>
      <c r="J30" s="45"/>
      <c r="K30" s="45"/>
    </row>
    <row r="31" spans="1:11" ht="15" customHeight="1">
      <c r="A31" s="4">
        <v>27</v>
      </c>
      <c r="B31" s="9" t="s">
        <v>28</v>
      </c>
      <c r="C31" s="213">
        <f>ПОСТУПИВШИЕ!E31</f>
        <v>10</v>
      </c>
      <c r="D31" s="96">
        <f>ПОСТУПИВШИЕ!F31</f>
        <v>23771.72</v>
      </c>
      <c r="E31" s="213">
        <f>Расход!E31</f>
        <v>3</v>
      </c>
      <c r="F31" s="80">
        <f>Расход!F31</f>
        <v>38120.83</v>
      </c>
      <c r="G31" s="167">
        <f t="shared" si="0"/>
        <v>30</v>
      </c>
      <c r="H31" s="168">
        <f t="shared" si="1"/>
        <v>160.36210253191607</v>
      </c>
      <c r="J31" s="45"/>
      <c r="K31" s="45"/>
    </row>
    <row r="32" spans="1:11" ht="15" customHeight="1">
      <c r="A32" s="4">
        <v>28</v>
      </c>
      <c r="B32" s="9" t="s">
        <v>29</v>
      </c>
      <c r="C32" s="213">
        <f>ПОСТУПИВШИЕ!E32</f>
        <v>4</v>
      </c>
      <c r="D32" s="96">
        <f>ПОСТУПИВШИЕ!F32</f>
        <v>3226.9300000000003</v>
      </c>
      <c r="E32" s="213">
        <f>Расход!E32</f>
        <v>3</v>
      </c>
      <c r="F32" s="80">
        <f>Расход!F32</f>
        <v>4264.99</v>
      </c>
      <c r="G32" s="167">
        <f t="shared" si="0"/>
        <v>75</v>
      </c>
      <c r="H32" s="168">
        <f t="shared" si="1"/>
        <v>132.16865565723458</v>
      </c>
      <c r="J32" s="45"/>
      <c r="K32" s="45"/>
    </row>
    <row r="33" spans="1:11" ht="15" customHeight="1">
      <c r="A33" s="4">
        <v>29</v>
      </c>
      <c r="B33" s="9" t="s">
        <v>30</v>
      </c>
      <c r="C33" s="213">
        <f>ПОСТУПИВШИЕ!E33</f>
        <v>16</v>
      </c>
      <c r="D33" s="96">
        <f>ПОСТУПИВШИЕ!F33</f>
        <v>73411.040000000008</v>
      </c>
      <c r="E33" s="213">
        <f>Расход!E33</f>
        <v>14</v>
      </c>
      <c r="F33" s="80">
        <f>Расход!F33</f>
        <v>63218.479999999996</v>
      </c>
      <c r="G33" s="167">
        <f t="shared" si="0"/>
        <v>87.5</v>
      </c>
      <c r="H33" s="168">
        <f t="shared" si="1"/>
        <v>86.115766783851569</v>
      </c>
      <c r="J33" s="45"/>
      <c r="K33" s="45"/>
    </row>
    <row r="34" spans="1:11" ht="15" customHeight="1">
      <c r="A34" s="18"/>
      <c r="B34" s="19" t="s">
        <v>31</v>
      </c>
      <c r="C34" s="217">
        <f>ПОСТУПИВШИЕ!E34</f>
        <v>348</v>
      </c>
      <c r="D34" s="100">
        <f>ПОСТУПИВШИЕ!F34</f>
        <v>1766512.7999999998</v>
      </c>
      <c r="E34" s="215">
        <f>Расход!E34</f>
        <v>497</v>
      </c>
      <c r="F34" s="66">
        <f>SUM(F23:F33)</f>
        <v>14161221.970000001</v>
      </c>
      <c r="G34" s="163">
        <f t="shared" si="0"/>
        <v>142.81609195402299</v>
      </c>
      <c r="H34" s="164">
        <f t="shared" si="1"/>
        <v>801.64842111531834</v>
      </c>
      <c r="J34" s="45"/>
      <c r="K34" s="45"/>
    </row>
    <row r="35" spans="1:11" ht="15" customHeight="1">
      <c r="A35" s="4">
        <v>30</v>
      </c>
      <c r="B35" s="9" t="s">
        <v>32</v>
      </c>
      <c r="C35" s="213">
        <f>ПОСТУПИВШИЕ!E35</f>
        <v>32</v>
      </c>
      <c r="D35" s="96">
        <f>ПОСТУПИВШИЕ!F35</f>
        <v>289095.63</v>
      </c>
      <c r="E35" s="213">
        <f>Расход!E35</f>
        <v>7</v>
      </c>
      <c r="F35" s="80">
        <f>Расход!F35</f>
        <v>49605.259999999995</v>
      </c>
      <c r="G35" s="167">
        <f t="shared" si="0"/>
        <v>21.875</v>
      </c>
      <c r="H35" s="168">
        <f t="shared" si="1"/>
        <v>17.158771995273671</v>
      </c>
      <c r="J35" s="45"/>
      <c r="K35" s="45"/>
    </row>
    <row r="36" spans="1:11" ht="15" customHeight="1">
      <c r="A36" s="4">
        <v>31</v>
      </c>
      <c r="B36" s="9" t="s">
        <v>33</v>
      </c>
      <c r="C36" s="213">
        <f>ПОСТУПИВШИЕ!E36</f>
        <v>69</v>
      </c>
      <c r="D36" s="96">
        <f>ПОСТУПИВШИЕ!F36</f>
        <v>933428.22</v>
      </c>
      <c r="E36" s="213">
        <f>Расход!E36</f>
        <v>74</v>
      </c>
      <c r="F36" s="80">
        <f>Расход!F36</f>
        <v>286240</v>
      </c>
      <c r="G36" s="167">
        <f t="shared" si="0"/>
        <v>107.24637681159422</v>
      </c>
      <c r="H36" s="168">
        <f t="shared" si="1"/>
        <v>30.665453847109958</v>
      </c>
      <c r="J36" s="45"/>
      <c r="K36" s="45"/>
    </row>
    <row r="37" spans="1:11" ht="15" customHeight="1">
      <c r="A37" s="4">
        <v>32</v>
      </c>
      <c r="B37" s="10" t="s">
        <v>34</v>
      </c>
      <c r="C37" s="213">
        <f>ПОСТУПИВШИЕ!E37</f>
        <v>109</v>
      </c>
      <c r="D37" s="96">
        <f>ПОСТУПИВШИЕ!F37</f>
        <v>761707.10000000009</v>
      </c>
      <c r="E37" s="213">
        <f>Расход!E37</f>
        <v>188</v>
      </c>
      <c r="F37" s="80">
        <f>Расход!F37</f>
        <v>1221707.23</v>
      </c>
      <c r="G37" s="167">
        <f t="shared" si="0"/>
        <v>172.47706422018351</v>
      </c>
      <c r="H37" s="168">
        <f t="shared" si="1"/>
        <v>160.39068429321452</v>
      </c>
      <c r="J37" s="181"/>
      <c r="K37" s="45"/>
    </row>
    <row r="38" spans="1:11" ht="15" customHeight="1">
      <c r="A38" s="4">
        <v>33</v>
      </c>
      <c r="B38" s="10" t="s">
        <v>35</v>
      </c>
      <c r="C38" s="213">
        <f>ПОСТУПИВШИЕ!E38</f>
        <v>3</v>
      </c>
      <c r="D38" s="96">
        <f>ПОСТУПИВШИЕ!F38</f>
        <v>63656.75</v>
      </c>
      <c r="E38" s="213">
        <f>Расход!E38</f>
        <v>5</v>
      </c>
      <c r="F38" s="80">
        <f>Расход!F38</f>
        <v>13776.230000000001</v>
      </c>
      <c r="G38" s="167">
        <f t="shared" si="0"/>
        <v>166.66666666666669</v>
      </c>
      <c r="H38" s="168">
        <f t="shared" si="1"/>
        <v>21.641428442388282</v>
      </c>
      <c r="J38" s="45"/>
      <c r="K38" s="45"/>
    </row>
    <row r="39" spans="1:11" ht="15" customHeight="1">
      <c r="A39" s="4">
        <v>34</v>
      </c>
      <c r="B39" s="10" t="s">
        <v>36</v>
      </c>
      <c r="C39" s="213">
        <f>ПОСТУПИВШИЕ!E39</f>
        <v>1</v>
      </c>
      <c r="D39" s="96">
        <f>ПОСТУПИВШИЕ!F39</f>
        <v>0</v>
      </c>
      <c r="E39" s="213">
        <f>Расход!E39</f>
        <v>1</v>
      </c>
      <c r="F39" s="80">
        <f>Расход!F39</f>
        <v>5025.8500000000004</v>
      </c>
      <c r="G39" s="167">
        <f>E39/C39*100</f>
        <v>100</v>
      </c>
      <c r="H39" s="168" t="e">
        <f t="shared" si="1"/>
        <v>#DIV/0!</v>
      </c>
      <c r="J39" s="45"/>
      <c r="K39" s="45"/>
    </row>
    <row r="40" spans="1:11" ht="15" customHeight="1">
      <c r="A40" s="4">
        <v>35</v>
      </c>
      <c r="B40" s="10" t="s">
        <v>37</v>
      </c>
      <c r="C40" s="213">
        <f>ПОСТУПИВШИЕ!E40</f>
        <v>65</v>
      </c>
      <c r="D40" s="96">
        <f>ПОСТУПИВШИЕ!F40</f>
        <v>455091.76</v>
      </c>
      <c r="E40" s="213">
        <f>Расход!E40</f>
        <v>28</v>
      </c>
      <c r="F40" s="80">
        <f>Расход!F40</f>
        <v>75433.27</v>
      </c>
      <c r="G40" s="167">
        <f t="shared" si="0"/>
        <v>43.07692307692308</v>
      </c>
      <c r="H40" s="168">
        <f t="shared" si="1"/>
        <v>16.575397893383084</v>
      </c>
      <c r="J40" s="45"/>
      <c r="K40" s="45"/>
    </row>
    <row r="41" spans="1:11" ht="15" customHeight="1">
      <c r="A41" s="4">
        <v>36</v>
      </c>
      <c r="B41" s="37" t="s">
        <v>102</v>
      </c>
      <c r="C41" s="213">
        <f>ПОСТУПИВШИЕ!E41</f>
        <v>20</v>
      </c>
      <c r="D41" s="96">
        <f>ПОСТУПИВШИЕ!F41</f>
        <v>51010.159999999996</v>
      </c>
      <c r="E41" s="213">
        <f>Расход!E41</f>
        <v>24</v>
      </c>
      <c r="F41" s="80">
        <f>Расход!F41</f>
        <v>415219.35</v>
      </c>
      <c r="G41" s="167">
        <f t="shared" si="0"/>
        <v>120</v>
      </c>
      <c r="H41" s="168">
        <f t="shared" si="1"/>
        <v>813.99342797591692</v>
      </c>
      <c r="J41" s="45"/>
      <c r="K41" s="45"/>
    </row>
    <row r="42" spans="1:11" ht="13.9" customHeight="1">
      <c r="A42" s="4">
        <v>37</v>
      </c>
      <c r="B42" s="37" t="s">
        <v>103</v>
      </c>
      <c r="C42" s="213">
        <f>ПОСТУПИВШИЕ!E42</f>
        <v>7</v>
      </c>
      <c r="D42" s="96">
        <f>ПОСТУПИВШИЕ!F42</f>
        <v>71521.31</v>
      </c>
      <c r="E42" s="213">
        <f>Расход!E42</f>
        <v>1</v>
      </c>
      <c r="F42" s="80">
        <f>Расход!F42</f>
        <v>4324.2</v>
      </c>
      <c r="G42" s="167">
        <f t="shared" si="0"/>
        <v>14.285714285714285</v>
      </c>
      <c r="H42" s="168">
        <f t="shared" si="1"/>
        <v>6.0460301971538275</v>
      </c>
      <c r="J42" s="45"/>
      <c r="K42" s="45"/>
    </row>
    <row r="43" spans="1:11" ht="15" customHeight="1">
      <c r="A43" s="4">
        <v>38</v>
      </c>
      <c r="B43" s="17" t="s">
        <v>155</v>
      </c>
      <c r="C43" s="213">
        <f>ПОСТУПИВШИЕ!E43</f>
        <v>8</v>
      </c>
      <c r="D43" s="96">
        <f>ПОСТУПИВШИЕ!F43</f>
        <v>0</v>
      </c>
      <c r="E43" s="213">
        <f>Расход!E43</f>
        <v>62</v>
      </c>
      <c r="F43" s="80">
        <f>Расход!F43</f>
        <v>341149.6</v>
      </c>
      <c r="G43" s="167">
        <f t="shared" si="0"/>
        <v>775</v>
      </c>
      <c r="H43" s="168" t="s">
        <v>114</v>
      </c>
      <c r="J43" s="45"/>
      <c r="K43" s="45"/>
    </row>
    <row r="44" spans="1:11" ht="15" customHeight="1">
      <c r="A44" s="4">
        <v>39</v>
      </c>
      <c r="B44" s="17" t="s">
        <v>157</v>
      </c>
      <c r="C44" s="213">
        <f>ПОСТУПИВШИЕ!E44</f>
        <v>2</v>
      </c>
      <c r="D44" s="96">
        <f>ПОСТУПИВШИЕ!F44</f>
        <v>0</v>
      </c>
      <c r="E44" s="213">
        <f>Расход!E44</f>
        <v>0</v>
      </c>
      <c r="F44" s="80">
        <f>Расход!F44</f>
        <v>0</v>
      </c>
      <c r="G44" s="167">
        <f t="shared" si="0"/>
        <v>0</v>
      </c>
      <c r="H44" s="168" t="s">
        <v>114</v>
      </c>
      <c r="J44" s="45"/>
      <c r="K44" s="45"/>
    </row>
    <row r="45" spans="1:11" ht="15" customHeight="1">
      <c r="A45" s="4">
        <v>40</v>
      </c>
      <c r="B45" s="17" t="s">
        <v>156</v>
      </c>
      <c r="C45" s="213">
        <f>ПОСТУПИВШИЕ!E45</f>
        <v>4</v>
      </c>
      <c r="D45" s="96">
        <f>ПОСТУПИВШИЕ!F45</f>
        <v>0</v>
      </c>
      <c r="E45" s="213">
        <f>Расход!E45</f>
        <v>11</v>
      </c>
      <c r="F45" s="80">
        <f>Расход!F45</f>
        <v>104392.7</v>
      </c>
      <c r="G45" s="167">
        <f t="shared" si="0"/>
        <v>275</v>
      </c>
      <c r="H45" s="168" t="s">
        <v>114</v>
      </c>
      <c r="J45" s="45"/>
      <c r="K45" s="45"/>
    </row>
    <row r="46" spans="1:11" ht="15" customHeight="1">
      <c r="A46" s="4">
        <v>41</v>
      </c>
      <c r="B46" s="17" t="s">
        <v>158</v>
      </c>
      <c r="C46" s="213">
        <f>ПОСТУПИВШИЕ!E46</f>
        <v>0</v>
      </c>
      <c r="D46" s="96">
        <f>ПОСТУПИВШИЕ!F46</f>
        <v>0</v>
      </c>
      <c r="E46" s="213">
        <f>Расход!E46</f>
        <v>1</v>
      </c>
      <c r="F46" s="80">
        <f>Расход!F46</f>
        <v>1302.5999999999999</v>
      </c>
      <c r="G46" s="167" t="s">
        <v>114</v>
      </c>
      <c r="H46" s="168" t="s">
        <v>114</v>
      </c>
      <c r="J46" s="45"/>
      <c r="K46" s="45"/>
    </row>
    <row r="47" spans="1:11" ht="15" customHeight="1">
      <c r="A47" s="18"/>
      <c r="B47" s="19" t="s">
        <v>38</v>
      </c>
      <c r="C47" s="217">
        <f>ПОСТУПИВШИЕ!E47</f>
        <v>320</v>
      </c>
      <c r="D47" s="100">
        <f>ПОСТУПИВШИЕ!F47</f>
        <v>2625510.9300000002</v>
      </c>
      <c r="E47" s="215">
        <f>Расход!E47</f>
        <v>402</v>
      </c>
      <c r="F47" s="66">
        <f>SUM(F35:F46)</f>
        <v>2518176.29</v>
      </c>
      <c r="G47" s="163">
        <f t="shared" si="0"/>
        <v>125.62500000000001</v>
      </c>
      <c r="H47" s="164">
        <f t="shared" si="1"/>
        <v>95.91185704947722</v>
      </c>
      <c r="J47" s="45"/>
      <c r="K47" s="45"/>
    </row>
    <row r="48" spans="1:11" ht="15" customHeight="1">
      <c r="A48" s="4">
        <v>42</v>
      </c>
      <c r="B48" s="10" t="s">
        <v>39</v>
      </c>
      <c r="C48" s="213">
        <f>ПОСТУПИВШИЕ!E48</f>
        <v>6</v>
      </c>
      <c r="D48" s="96">
        <f>ПОСТУПИВШИЕ!F48</f>
        <v>12564.089999999998</v>
      </c>
      <c r="E48" s="213">
        <f>Расход!E48</f>
        <v>3</v>
      </c>
      <c r="F48" s="80">
        <f>Расход!F48</f>
        <v>17083.740000000002</v>
      </c>
      <c r="G48" s="167">
        <f t="shared" si="0"/>
        <v>50</v>
      </c>
      <c r="H48" s="168">
        <f t="shared" si="1"/>
        <v>135.97276046255641</v>
      </c>
      <c r="J48" s="45"/>
      <c r="K48" s="45"/>
    </row>
    <row r="49" spans="1:11" ht="15" customHeight="1">
      <c r="A49" s="4">
        <v>43</v>
      </c>
      <c r="B49" s="10" t="s">
        <v>40</v>
      </c>
      <c r="C49" s="213">
        <f>ПОСТУПИВШИЕ!E49</f>
        <v>3</v>
      </c>
      <c r="D49" s="96">
        <f>ПОСТУПИВШИЕ!F49</f>
        <v>1983.52</v>
      </c>
      <c r="E49" s="213">
        <f>Расход!E49</f>
        <v>2</v>
      </c>
      <c r="F49" s="80">
        <f>Расход!F49</f>
        <v>1232.1600000000001</v>
      </c>
      <c r="G49" s="167">
        <f t="shared" si="0"/>
        <v>66.666666666666657</v>
      </c>
      <c r="H49" s="168">
        <f t="shared" si="1"/>
        <v>62.119867709929821</v>
      </c>
      <c r="J49" s="45"/>
      <c r="K49" s="45"/>
    </row>
    <row r="50" spans="1:11" ht="15" customHeight="1">
      <c r="A50" s="4">
        <v>44</v>
      </c>
      <c r="B50" s="9" t="s">
        <v>41</v>
      </c>
      <c r="C50" s="213">
        <f>ПОСТУПИВШИЕ!E50</f>
        <v>16</v>
      </c>
      <c r="D50" s="96">
        <f>ПОСТУПИВШИЕ!F50</f>
        <v>151157.03</v>
      </c>
      <c r="E50" s="213">
        <f>Расход!E50</f>
        <v>17</v>
      </c>
      <c r="F50" s="80">
        <f>Расход!F50</f>
        <v>37120.47</v>
      </c>
      <c r="G50" s="167">
        <f t="shared" si="0"/>
        <v>106.25</v>
      </c>
      <c r="H50" s="168">
        <f t="shared" si="1"/>
        <v>24.557554484895608</v>
      </c>
      <c r="J50" s="45"/>
      <c r="K50" s="45"/>
    </row>
    <row r="51" spans="1:11" ht="15" customHeight="1">
      <c r="A51" s="4">
        <v>45</v>
      </c>
      <c r="B51" s="9" t="s">
        <v>42</v>
      </c>
      <c r="C51" s="213">
        <f>ПОСТУПИВШИЕ!E51</f>
        <v>1</v>
      </c>
      <c r="D51" s="96">
        <f>ПОСТУПИВШИЕ!F51</f>
        <v>7528.8099999999995</v>
      </c>
      <c r="E51" s="213">
        <f>Расход!E51</f>
        <v>5</v>
      </c>
      <c r="F51" s="80">
        <f>Расход!F51</f>
        <v>37376.11</v>
      </c>
      <c r="G51" s="167">
        <f t="shared" si="0"/>
        <v>500</v>
      </c>
      <c r="H51" s="168">
        <f t="shared" si="1"/>
        <v>496.44113744403171</v>
      </c>
      <c r="J51" s="45"/>
      <c r="K51" s="45"/>
    </row>
    <row r="52" spans="1:11" ht="15" customHeight="1">
      <c r="A52" s="4">
        <v>46</v>
      </c>
      <c r="B52" s="9" t="s">
        <v>43</v>
      </c>
      <c r="C52" s="213">
        <f>ПОСТУПИВШИЕ!E52</f>
        <v>5</v>
      </c>
      <c r="D52" s="96">
        <f>ПОСТУПИВШИЕ!F52</f>
        <v>48940.47</v>
      </c>
      <c r="E52" s="213">
        <f>Расход!E52</f>
        <v>3</v>
      </c>
      <c r="F52" s="80">
        <f>Расход!F52</f>
        <v>69516.929999999993</v>
      </c>
      <c r="G52" s="167">
        <f t="shared" si="0"/>
        <v>60</v>
      </c>
      <c r="H52" s="168">
        <f t="shared" si="1"/>
        <v>142.04385450323628</v>
      </c>
      <c r="J52" s="45"/>
      <c r="K52" s="45"/>
    </row>
    <row r="53" spans="1:11" ht="15" customHeight="1">
      <c r="A53" s="4">
        <v>47</v>
      </c>
      <c r="B53" s="9" t="s">
        <v>44</v>
      </c>
      <c r="C53" s="213">
        <f>ПОСТУПИВШИЕ!E53</f>
        <v>26</v>
      </c>
      <c r="D53" s="96">
        <f>ПОСТУПИВШИЕ!F53</f>
        <v>197746</v>
      </c>
      <c r="E53" s="213">
        <f>Расход!E53</f>
        <v>52</v>
      </c>
      <c r="F53" s="80">
        <f>Расход!F53</f>
        <v>868462.2</v>
      </c>
      <c r="G53" s="167">
        <f t="shared" si="0"/>
        <v>200</v>
      </c>
      <c r="H53" s="168">
        <f t="shared" si="1"/>
        <v>439.18066610702613</v>
      </c>
      <c r="J53" s="45"/>
      <c r="K53" s="45"/>
    </row>
    <row r="54" spans="1:11" ht="15" customHeight="1">
      <c r="A54" s="4">
        <v>48</v>
      </c>
      <c r="B54" s="9" t="s">
        <v>45</v>
      </c>
      <c r="C54" s="213">
        <f>ПОСТУПИВШИЕ!E54</f>
        <v>11</v>
      </c>
      <c r="D54" s="96">
        <f>ПОСТУПИВШИЕ!F54</f>
        <v>159986.57</v>
      </c>
      <c r="E54" s="213">
        <f>Расход!E54</f>
        <v>74</v>
      </c>
      <c r="F54" s="80">
        <f>Расход!F54</f>
        <v>640938.57000000007</v>
      </c>
      <c r="G54" s="167">
        <f t="shared" si="0"/>
        <v>672.72727272727275</v>
      </c>
      <c r="H54" s="168">
        <f t="shared" si="1"/>
        <v>400.62023331083356</v>
      </c>
      <c r="J54" s="45"/>
      <c r="K54" s="45"/>
    </row>
    <row r="55" spans="1:11" ht="15" customHeight="1">
      <c r="A55" s="18"/>
      <c r="B55" s="19" t="s">
        <v>46</v>
      </c>
      <c r="C55" s="217">
        <f>ПОСТУПИВШИЕ!E55</f>
        <v>68</v>
      </c>
      <c r="D55" s="100">
        <f>ПОСТУПИВШИЕ!F55</f>
        <v>579906.49</v>
      </c>
      <c r="E55" s="215">
        <f>Расход!E55</f>
        <v>156</v>
      </c>
      <c r="F55" s="66">
        <f>SUM(F48:F54)</f>
        <v>1671730.1800000002</v>
      </c>
      <c r="G55" s="163">
        <f t="shared" si="0"/>
        <v>229.41176470588235</v>
      </c>
      <c r="H55" s="164">
        <f t="shared" si="1"/>
        <v>288.27581839961823</v>
      </c>
      <c r="J55" s="45"/>
      <c r="K55" s="45"/>
    </row>
    <row r="56" spans="1:11" ht="15" customHeight="1">
      <c r="A56" s="4">
        <v>49</v>
      </c>
      <c r="B56" s="9" t="s">
        <v>47</v>
      </c>
      <c r="C56" s="213">
        <f>ПОСТУПИВШИЕ!E56</f>
        <v>12</v>
      </c>
      <c r="D56" s="96">
        <f>ПОСТУПИВШИЕ!F56</f>
        <v>34149.29</v>
      </c>
      <c r="E56" s="213">
        <f>Расход!E56</f>
        <v>6</v>
      </c>
      <c r="F56" s="80">
        <f>Расход!F56</f>
        <v>33863.550000000003</v>
      </c>
      <c r="G56" s="167">
        <f t="shared" si="0"/>
        <v>50</v>
      </c>
      <c r="H56" s="168">
        <f t="shared" si="1"/>
        <v>99.16326225230452</v>
      </c>
      <c r="J56" s="45"/>
      <c r="K56" s="45"/>
    </row>
    <row r="57" spans="1:11" ht="15" customHeight="1">
      <c r="A57" s="4">
        <v>50</v>
      </c>
      <c r="B57" s="9" t="s">
        <v>48</v>
      </c>
      <c r="C57" s="213">
        <f>ПОСТУПИВШИЕ!E57</f>
        <v>74</v>
      </c>
      <c r="D57" s="96">
        <f>ПОСТУПИВШИЕ!F57</f>
        <v>335064.95999999996</v>
      </c>
      <c r="E57" s="213">
        <f>Расход!E57</f>
        <v>78</v>
      </c>
      <c r="F57" s="80">
        <f>Расход!F57</f>
        <v>487844.59</v>
      </c>
      <c r="G57" s="167">
        <f t="shared" si="0"/>
        <v>105.40540540540539</v>
      </c>
      <c r="H57" s="168">
        <f t="shared" si="1"/>
        <v>145.59701796332271</v>
      </c>
      <c r="J57" s="45"/>
      <c r="K57" s="45"/>
    </row>
    <row r="58" spans="1:11" ht="15" customHeight="1">
      <c r="A58" s="4">
        <v>51</v>
      </c>
      <c r="B58" s="9" t="s">
        <v>49</v>
      </c>
      <c r="C58" s="213">
        <f>ПОСТУПИВШИЕ!E58</f>
        <v>58</v>
      </c>
      <c r="D58" s="96">
        <f>ПОСТУПИВШИЕ!F58</f>
        <v>320635.46999999997</v>
      </c>
      <c r="E58" s="213">
        <f>Расход!E58</f>
        <v>28</v>
      </c>
      <c r="F58" s="80">
        <f>Расход!F58</f>
        <v>499202.03</v>
      </c>
      <c r="G58" s="167">
        <f t="shared" si="0"/>
        <v>48.275862068965516</v>
      </c>
      <c r="H58" s="168">
        <f t="shared" si="1"/>
        <v>155.69145547122409</v>
      </c>
      <c r="J58" s="45"/>
      <c r="K58" s="45"/>
    </row>
    <row r="59" spans="1:11" ht="15" customHeight="1">
      <c r="A59" s="4">
        <v>52</v>
      </c>
      <c r="B59" s="9" t="s">
        <v>50</v>
      </c>
      <c r="C59" s="213">
        <f>ПОСТУПИВШИЕ!E59</f>
        <v>0</v>
      </c>
      <c r="D59" s="96">
        <f>ПОСТУПИВШИЕ!F59</f>
        <v>0</v>
      </c>
      <c r="E59" s="213">
        <f>Расход!E59</f>
        <v>0</v>
      </c>
      <c r="F59" s="80">
        <f>Расход!F59</f>
        <v>0</v>
      </c>
      <c r="G59" s="167" t="s">
        <v>114</v>
      </c>
      <c r="H59" s="168" t="s">
        <v>114</v>
      </c>
      <c r="J59" s="45"/>
      <c r="K59" s="45"/>
    </row>
    <row r="60" spans="1:11" ht="15" customHeight="1">
      <c r="A60" s="4">
        <v>53</v>
      </c>
      <c r="B60" s="9" t="s">
        <v>51</v>
      </c>
      <c r="C60" s="213">
        <f>ПОСТУПИВШИЕ!E60</f>
        <v>13</v>
      </c>
      <c r="D60" s="96">
        <f>ПОСТУПИВШИЕ!F60</f>
        <v>87384.889999999985</v>
      </c>
      <c r="E60" s="213">
        <f>Расход!E60</f>
        <v>17</v>
      </c>
      <c r="F60" s="80">
        <f>Расход!F60</f>
        <v>72094.239999999991</v>
      </c>
      <c r="G60" s="167">
        <f t="shared" si="0"/>
        <v>130.76923076923077</v>
      </c>
      <c r="H60" s="168">
        <f t="shared" si="1"/>
        <v>82.501951996506492</v>
      </c>
      <c r="J60" s="45"/>
      <c r="K60" s="45"/>
    </row>
    <row r="61" spans="1:11" ht="15" customHeight="1">
      <c r="A61" s="4">
        <v>54</v>
      </c>
      <c r="B61" s="9" t="s">
        <v>52</v>
      </c>
      <c r="C61" s="213">
        <f>ПОСТУПИВШИЕ!E61</f>
        <v>33</v>
      </c>
      <c r="D61" s="96">
        <f>ПОСТУПИВШИЕ!F61</f>
        <v>142304.56</v>
      </c>
      <c r="E61" s="213">
        <f>Расход!E61</f>
        <v>18</v>
      </c>
      <c r="F61" s="80">
        <f>Расход!F61</f>
        <v>298828.10000000003</v>
      </c>
      <c r="G61" s="167">
        <f t="shared" si="0"/>
        <v>54.54545454545454</v>
      </c>
      <c r="H61" s="168">
        <f t="shared" si="1"/>
        <v>209.99193560627995</v>
      </c>
      <c r="J61" s="45"/>
      <c r="K61" s="45"/>
    </row>
    <row r="62" spans="1:11" ht="15" customHeight="1">
      <c r="A62" s="4">
        <v>55</v>
      </c>
      <c r="B62" s="9" t="s">
        <v>53</v>
      </c>
      <c r="C62" s="213">
        <f>ПОСТУПИВШИЕ!E62</f>
        <v>90</v>
      </c>
      <c r="D62" s="96">
        <f>ПОСТУПИВШИЕ!F62</f>
        <v>404788.52</v>
      </c>
      <c r="E62" s="213">
        <f>Расход!E62</f>
        <v>5</v>
      </c>
      <c r="F62" s="80">
        <f>Расход!F62</f>
        <v>81127.19</v>
      </c>
      <c r="G62" s="167">
        <f t="shared" si="0"/>
        <v>5.5555555555555554</v>
      </c>
      <c r="H62" s="168">
        <f t="shared" si="1"/>
        <v>20.041870258573539</v>
      </c>
      <c r="J62" s="45"/>
      <c r="K62" s="45"/>
    </row>
    <row r="63" spans="1:11" ht="15" customHeight="1">
      <c r="A63" s="4">
        <v>56</v>
      </c>
      <c r="B63" s="9" t="s">
        <v>54</v>
      </c>
      <c r="C63" s="213">
        <f>ПОСТУПИВШИЕ!E63</f>
        <v>422</v>
      </c>
      <c r="D63" s="96">
        <f>ПОСТУПИВШИЕ!F63</f>
        <v>17448652.869999997</v>
      </c>
      <c r="E63" s="213">
        <f>Расход!E63</f>
        <v>268</v>
      </c>
      <c r="F63" s="80">
        <f>Расход!F63</f>
        <v>7497533.1600000001</v>
      </c>
      <c r="G63" s="167">
        <f t="shared" si="0"/>
        <v>63.507109004739334</v>
      </c>
      <c r="H63" s="168">
        <f t="shared" si="1"/>
        <v>42.969123266190586</v>
      </c>
      <c r="J63" s="45"/>
      <c r="K63" s="45"/>
    </row>
    <row r="64" spans="1:11" ht="15" customHeight="1">
      <c r="A64" s="4">
        <v>57</v>
      </c>
      <c r="B64" s="9" t="s">
        <v>55</v>
      </c>
      <c r="C64" s="213">
        <f>ПОСТУПИВШИЕ!E64</f>
        <v>48</v>
      </c>
      <c r="D64" s="96">
        <f>ПОСТУПИВШИЕ!F64</f>
        <v>347643.70999999996</v>
      </c>
      <c r="E64" s="213">
        <f>Расход!E64</f>
        <v>74</v>
      </c>
      <c r="F64" s="80">
        <f>Расход!F64</f>
        <v>486476.68000000005</v>
      </c>
      <c r="G64" s="167">
        <f t="shared" si="0"/>
        <v>154.16666666666669</v>
      </c>
      <c r="H64" s="168">
        <f t="shared" si="1"/>
        <v>139.93541836266795</v>
      </c>
      <c r="J64" s="45"/>
      <c r="K64" s="45"/>
    </row>
    <row r="65" spans="1:11" ht="15" customHeight="1">
      <c r="A65" s="4">
        <v>58</v>
      </c>
      <c r="B65" s="9" t="s">
        <v>56</v>
      </c>
      <c r="C65" s="213">
        <f>ПОСТУПИВШИЕ!E65</f>
        <v>346</v>
      </c>
      <c r="D65" s="96">
        <f>ПОСТУПИВШИЕ!F65</f>
        <v>2465202</v>
      </c>
      <c r="E65" s="213">
        <f>Расход!E65</f>
        <v>299</v>
      </c>
      <c r="F65" s="80">
        <f>Расход!F65</f>
        <v>8482946.8299999982</v>
      </c>
      <c r="G65" s="167">
        <f t="shared" si="0"/>
        <v>86.416184971098261</v>
      </c>
      <c r="H65" s="168">
        <f t="shared" si="1"/>
        <v>344.10757536299246</v>
      </c>
      <c r="J65" s="45"/>
      <c r="K65" s="45"/>
    </row>
    <row r="66" spans="1:11" ht="15" customHeight="1">
      <c r="A66" s="4">
        <v>59</v>
      </c>
      <c r="B66" s="9" t="s">
        <v>57</v>
      </c>
      <c r="C66" s="213">
        <f>ПОСТУПИВШИЕ!E66</f>
        <v>949</v>
      </c>
      <c r="D66" s="96">
        <f>ПОСТУПИВШИЕ!F66</f>
        <v>8165005.1000000006</v>
      </c>
      <c r="E66" s="213">
        <f>Расход!E66</f>
        <v>125</v>
      </c>
      <c r="F66" s="80">
        <f>Расход!F66</f>
        <v>4260575.4000000004</v>
      </c>
      <c r="G66" s="167">
        <f t="shared" si="0"/>
        <v>13.171759747102213</v>
      </c>
      <c r="H66" s="168">
        <f t="shared" si="1"/>
        <v>52.180927602849877</v>
      </c>
      <c r="J66" s="45"/>
      <c r="K66" s="45"/>
    </row>
    <row r="67" spans="1:11" ht="15" customHeight="1">
      <c r="A67" s="4">
        <v>60</v>
      </c>
      <c r="B67" s="9" t="s">
        <v>58</v>
      </c>
      <c r="C67" s="213">
        <f>ПОСТУПИВШИЕ!E67</f>
        <v>9</v>
      </c>
      <c r="D67" s="96">
        <f>ПОСТУПИВШИЕ!F67</f>
        <v>54970.179999999993</v>
      </c>
      <c r="E67" s="213">
        <f>Расход!E67</f>
        <v>34</v>
      </c>
      <c r="F67" s="80">
        <f>Расход!F67</f>
        <v>1009717.72</v>
      </c>
      <c r="G67" s="167">
        <f t="shared" si="0"/>
        <v>377.77777777777777</v>
      </c>
      <c r="H67" s="168">
        <f t="shared" si="1"/>
        <v>1836.8463046691861</v>
      </c>
      <c r="J67" s="45"/>
      <c r="K67" s="45"/>
    </row>
    <row r="68" spans="1:11" ht="15" customHeight="1">
      <c r="A68" s="4">
        <v>61</v>
      </c>
      <c r="B68" s="9" t="s">
        <v>59</v>
      </c>
      <c r="C68" s="213">
        <f>ПОСТУПИВШИЕ!E68</f>
        <v>587</v>
      </c>
      <c r="D68" s="96">
        <f>ПОСТУПИВШИЕ!F68</f>
        <v>6770329</v>
      </c>
      <c r="E68" s="213">
        <f>Расход!E68</f>
        <v>253</v>
      </c>
      <c r="F68" s="80">
        <f>Расход!F68</f>
        <v>2290283.7000000002</v>
      </c>
      <c r="G68" s="167">
        <f t="shared" si="0"/>
        <v>43.100511073253834</v>
      </c>
      <c r="H68" s="168">
        <f t="shared" si="1"/>
        <v>33.828248228409578</v>
      </c>
      <c r="J68" s="45"/>
      <c r="K68" s="45"/>
    </row>
    <row r="69" spans="1:11" ht="15" customHeight="1">
      <c r="A69" s="4">
        <v>62</v>
      </c>
      <c r="B69" s="9" t="s">
        <v>60</v>
      </c>
      <c r="C69" s="213">
        <f>ПОСТУПИВШИЕ!E69</f>
        <v>94</v>
      </c>
      <c r="D69" s="96">
        <f>ПОСТУПИВШИЕ!F69</f>
        <v>505539.08</v>
      </c>
      <c r="E69" s="213">
        <f>Расход!E69</f>
        <v>55</v>
      </c>
      <c r="F69" s="80">
        <f>Расход!F69</f>
        <v>434915.3</v>
      </c>
      <c r="G69" s="167">
        <f t="shared" si="0"/>
        <v>58.51063829787234</v>
      </c>
      <c r="H69" s="168">
        <f t="shared" si="1"/>
        <v>86.030005830607593</v>
      </c>
      <c r="J69" s="45"/>
      <c r="K69" s="45"/>
    </row>
    <row r="70" spans="1:11" ht="15" customHeight="1">
      <c r="A70" s="18"/>
      <c r="B70" s="19" t="s">
        <v>61</v>
      </c>
      <c r="C70" s="217">
        <f>ПОСТУПИВШИЕ!E70</f>
        <v>2735</v>
      </c>
      <c r="D70" s="100">
        <f>ПОСТУПИВШИЕ!F70</f>
        <v>37081669.629999995</v>
      </c>
      <c r="E70" s="215">
        <f>Расход!E70</f>
        <v>1260</v>
      </c>
      <c r="F70" s="67">
        <f>SUM(F56:F69)</f>
        <v>25935408.489999995</v>
      </c>
      <c r="G70" s="163">
        <f t="shared" ref="G70:G100" si="2">E70/C70*100</f>
        <v>46.06946983546618</v>
      </c>
      <c r="H70" s="164">
        <f t="shared" ref="H70:H100" si="3">F70/D70*100</f>
        <v>69.941318038758439</v>
      </c>
      <c r="J70" s="45"/>
      <c r="K70" s="45"/>
    </row>
    <row r="71" spans="1:11" ht="15" customHeight="1">
      <c r="A71" s="4">
        <v>63</v>
      </c>
      <c r="B71" s="9" t="s">
        <v>62</v>
      </c>
      <c r="C71" s="213">
        <f>ПОСТУПИВШИЕ!E71</f>
        <v>7</v>
      </c>
      <c r="D71" s="96">
        <f>ПОСТУПИВШИЕ!F71</f>
        <v>10426.08</v>
      </c>
      <c r="E71" s="213">
        <f>Расход!E71</f>
        <v>7</v>
      </c>
      <c r="F71" s="80">
        <f>Расход!F71</f>
        <v>54202.29</v>
      </c>
      <c r="G71" s="167">
        <f t="shared" si="2"/>
        <v>100</v>
      </c>
      <c r="H71" s="168">
        <f t="shared" si="3"/>
        <v>519.87218590304315</v>
      </c>
      <c r="J71" s="45"/>
      <c r="K71" s="45"/>
    </row>
    <row r="72" spans="1:11" ht="15" customHeight="1">
      <c r="A72" s="4">
        <v>64</v>
      </c>
      <c r="B72" s="9" t="s">
        <v>63</v>
      </c>
      <c r="C72" s="213">
        <f>ПОСТУПИВШИЕ!E72</f>
        <v>42</v>
      </c>
      <c r="D72" s="96">
        <f>ПОСТУПИВШИЕ!F72</f>
        <v>121375.23000000001</v>
      </c>
      <c r="E72" s="213">
        <f>Расход!E72</f>
        <v>34</v>
      </c>
      <c r="F72" s="80">
        <f>Расход!F72</f>
        <v>303056.68</v>
      </c>
      <c r="G72" s="167">
        <f t="shared" si="2"/>
        <v>80.952380952380949</v>
      </c>
      <c r="H72" s="168">
        <f t="shared" si="3"/>
        <v>249.68577196516947</v>
      </c>
      <c r="J72" s="45"/>
      <c r="K72" s="45"/>
    </row>
    <row r="73" spans="1:11" ht="15" customHeight="1">
      <c r="A73" s="4">
        <v>65</v>
      </c>
      <c r="B73" s="9" t="s">
        <v>64</v>
      </c>
      <c r="C73" s="213">
        <f>ПОСТУПИВШИЕ!E73</f>
        <v>13</v>
      </c>
      <c r="D73" s="96">
        <f>ПОСТУПИВШИЕ!F73</f>
        <v>75258.75</v>
      </c>
      <c r="E73" s="213">
        <f>Расход!E73</f>
        <v>13</v>
      </c>
      <c r="F73" s="80">
        <f>Расход!F73</f>
        <v>624381.26</v>
      </c>
      <c r="G73" s="167">
        <f t="shared" si="2"/>
        <v>100</v>
      </c>
      <c r="H73" s="168">
        <f t="shared" si="3"/>
        <v>829.64606773298794</v>
      </c>
      <c r="J73" s="45"/>
      <c r="K73" s="45"/>
    </row>
    <row r="74" spans="1:11" ht="15" customHeight="1">
      <c r="A74" s="4">
        <v>66</v>
      </c>
      <c r="B74" s="9" t="s">
        <v>65</v>
      </c>
      <c r="C74" s="213">
        <f>ПОСТУПИВШИЕ!E74</f>
        <v>59</v>
      </c>
      <c r="D74" s="96">
        <f>ПОСТУПИВШИЕ!F74</f>
        <v>237111.01</v>
      </c>
      <c r="E74" s="213">
        <f>Расход!E74</f>
        <v>25</v>
      </c>
      <c r="F74" s="80">
        <f>Расход!F74</f>
        <v>150293.5</v>
      </c>
      <c r="G74" s="167">
        <f t="shared" si="2"/>
        <v>42.372881355932201</v>
      </c>
      <c r="H74" s="168">
        <f t="shared" si="3"/>
        <v>63.385289447335239</v>
      </c>
      <c r="J74" s="45"/>
      <c r="K74" s="45"/>
    </row>
    <row r="75" spans="1:11" ht="15" customHeight="1">
      <c r="A75" s="4">
        <v>67</v>
      </c>
      <c r="B75" s="9" t="s">
        <v>66</v>
      </c>
      <c r="C75" s="213">
        <f>ПОСТУПИВШИЕ!E75</f>
        <v>32</v>
      </c>
      <c r="D75" s="96">
        <f>ПОСТУПИВШИЕ!F75</f>
        <v>32594.45</v>
      </c>
      <c r="E75" s="213">
        <f>Расход!E75</f>
        <v>13</v>
      </c>
      <c r="F75" s="80">
        <f>Расход!F75</f>
        <v>86811.22</v>
      </c>
      <c r="G75" s="167">
        <f t="shared" si="2"/>
        <v>40.625</v>
      </c>
      <c r="H75" s="168">
        <f t="shared" si="3"/>
        <v>266.33742861131265</v>
      </c>
      <c r="J75" s="45"/>
      <c r="K75" s="45"/>
    </row>
    <row r="76" spans="1:11" ht="15" customHeight="1">
      <c r="A76" s="4">
        <v>68</v>
      </c>
      <c r="B76" s="9" t="s">
        <v>67</v>
      </c>
      <c r="C76" s="213">
        <f>ПОСТУПИВШИЕ!E76</f>
        <v>28</v>
      </c>
      <c r="D76" s="96">
        <f>ПОСТУПИВШИЕ!F76</f>
        <v>87243.31</v>
      </c>
      <c r="E76" s="213">
        <f>Расход!E76</f>
        <v>7</v>
      </c>
      <c r="F76" s="80">
        <f>Расход!F76</f>
        <v>28560.48</v>
      </c>
      <c r="G76" s="167">
        <f t="shared" si="2"/>
        <v>25</v>
      </c>
      <c r="H76" s="168">
        <f t="shared" si="3"/>
        <v>32.736584616058238</v>
      </c>
      <c r="J76" s="45"/>
      <c r="K76" s="45"/>
    </row>
    <row r="77" spans="1:11" ht="15" customHeight="1">
      <c r="A77" s="18"/>
      <c r="B77" s="19" t="s">
        <v>68</v>
      </c>
      <c r="C77" s="217">
        <f>ПОСТУПИВШИЕ!E77</f>
        <v>181</v>
      </c>
      <c r="D77" s="100">
        <f>ПОСТУПИВШИЕ!F77</f>
        <v>564008.83000000007</v>
      </c>
      <c r="E77" s="215">
        <f>Расход!E77</f>
        <v>99</v>
      </c>
      <c r="F77" s="67">
        <f>SUM(F71:F76)</f>
        <v>1247305.43</v>
      </c>
      <c r="G77" s="163">
        <f t="shared" si="2"/>
        <v>54.696132596685089</v>
      </c>
      <c r="H77" s="164">
        <f t="shared" si="3"/>
        <v>221.14998270505794</v>
      </c>
      <c r="J77" s="45"/>
      <c r="K77" s="45"/>
    </row>
    <row r="78" spans="1:11" ht="15" customHeight="1">
      <c r="A78" s="4">
        <v>69</v>
      </c>
      <c r="B78" s="9" t="s">
        <v>69</v>
      </c>
      <c r="C78" s="213">
        <f>ПОСТУПИВШИЕ!E78</f>
        <v>6</v>
      </c>
      <c r="D78" s="96">
        <f>ПОСТУПИВШИЕ!F78</f>
        <v>110037.44</v>
      </c>
      <c r="E78" s="213">
        <f>Расход!E78</f>
        <v>12</v>
      </c>
      <c r="F78" s="80">
        <f>Расход!F78</f>
        <v>26586.519999999997</v>
      </c>
      <c r="G78" s="167">
        <f t="shared" si="2"/>
        <v>200</v>
      </c>
      <c r="H78" s="168">
        <f t="shared" si="3"/>
        <v>24.161339994823578</v>
      </c>
      <c r="J78" s="45"/>
      <c r="K78" s="45"/>
    </row>
    <row r="79" spans="1:11" ht="15" customHeight="1">
      <c r="A79" s="4">
        <v>70</v>
      </c>
      <c r="B79" s="9" t="s">
        <v>71</v>
      </c>
      <c r="C79" s="213">
        <f>ПОСТУПИВШИЕ!E79</f>
        <v>9</v>
      </c>
      <c r="D79" s="96">
        <f>ПОСТУПИВШИЕ!F79</f>
        <v>76965.73000000001</v>
      </c>
      <c r="E79" s="213">
        <f>Расход!E79</f>
        <v>4</v>
      </c>
      <c r="F79" s="80">
        <f>Расход!F79</f>
        <v>4759</v>
      </c>
      <c r="G79" s="167">
        <f t="shared" si="2"/>
        <v>44.444444444444443</v>
      </c>
      <c r="H79" s="168">
        <f t="shared" si="3"/>
        <v>6.1832714378204425</v>
      </c>
      <c r="J79" s="45"/>
      <c r="K79" s="45"/>
    </row>
    <row r="80" spans="1:11" ht="15" customHeight="1">
      <c r="A80" s="4">
        <v>71</v>
      </c>
      <c r="B80" s="9" t="s">
        <v>72</v>
      </c>
      <c r="C80" s="213">
        <f>ПОСТУПИВШИЕ!E80</f>
        <v>9</v>
      </c>
      <c r="D80" s="96">
        <f>ПОСТУПИВШИЕ!F80</f>
        <v>98277.150000000009</v>
      </c>
      <c r="E80" s="213">
        <f>Расход!E80</f>
        <v>6</v>
      </c>
      <c r="F80" s="80">
        <f>Расход!F80</f>
        <v>163209.87</v>
      </c>
      <c r="G80" s="167">
        <f t="shared" si="2"/>
        <v>66.666666666666657</v>
      </c>
      <c r="H80" s="168">
        <f t="shared" si="3"/>
        <v>166.07102464815065</v>
      </c>
      <c r="J80" s="45"/>
      <c r="K80" s="45"/>
    </row>
    <row r="81" spans="1:11" ht="15" customHeight="1">
      <c r="A81" s="4">
        <v>72</v>
      </c>
      <c r="B81" s="9" t="s">
        <v>73</v>
      </c>
      <c r="C81" s="213">
        <f>ПОСТУПИВШИЕ!E81</f>
        <v>28</v>
      </c>
      <c r="D81" s="96">
        <f>ПОСТУПИВШИЕ!F81</f>
        <v>200408.75999999998</v>
      </c>
      <c r="E81" s="213">
        <f>Расход!E81</f>
        <v>7</v>
      </c>
      <c r="F81" s="80">
        <f>Расход!F81</f>
        <v>37677</v>
      </c>
      <c r="G81" s="167">
        <f t="shared" si="2"/>
        <v>25</v>
      </c>
      <c r="H81" s="168">
        <f t="shared" si="3"/>
        <v>18.800076403845821</v>
      </c>
      <c r="J81" s="45"/>
      <c r="K81" s="45"/>
    </row>
    <row r="82" spans="1:11" ht="15" customHeight="1">
      <c r="A82" s="4">
        <v>73</v>
      </c>
      <c r="B82" s="9" t="s">
        <v>74</v>
      </c>
      <c r="C82" s="213">
        <f>ПОСТУПИВШИЕ!E82</f>
        <v>7</v>
      </c>
      <c r="D82" s="96">
        <f>ПОСТУПИВШИЕ!F82</f>
        <v>79749.100000000006</v>
      </c>
      <c r="E82" s="213">
        <f>Расход!E82</f>
        <v>7</v>
      </c>
      <c r="F82" s="80">
        <f>Расход!F82</f>
        <v>116681.81</v>
      </c>
      <c r="G82" s="167">
        <f t="shared" si="2"/>
        <v>100</v>
      </c>
      <c r="H82" s="168">
        <f t="shared" si="3"/>
        <v>146.31113078392107</v>
      </c>
      <c r="J82" s="45"/>
      <c r="K82" s="45"/>
    </row>
    <row r="83" spans="1:11" ht="15" customHeight="1">
      <c r="A83" s="4">
        <v>74</v>
      </c>
      <c r="B83" s="9" t="s">
        <v>75</v>
      </c>
      <c r="C83" s="213">
        <f>ПОСТУПИВШИЕ!E83</f>
        <v>9</v>
      </c>
      <c r="D83" s="96">
        <f>ПОСТУПИВШИЕ!F83</f>
        <v>98810.94</v>
      </c>
      <c r="E83" s="213">
        <f>Расход!E83</f>
        <v>5</v>
      </c>
      <c r="F83" s="80">
        <f>Расход!F83</f>
        <v>7141.99</v>
      </c>
      <c r="G83" s="167">
        <f t="shared" si="2"/>
        <v>55.555555555555557</v>
      </c>
      <c r="H83" s="168">
        <f t="shared" si="3"/>
        <v>7.2279344777005452</v>
      </c>
      <c r="J83" s="45"/>
      <c r="K83" s="45"/>
    </row>
    <row r="84" spans="1:11" ht="15" customHeight="1">
      <c r="A84" s="4">
        <v>75</v>
      </c>
      <c r="B84" s="9" t="s">
        <v>76</v>
      </c>
      <c r="C84" s="213">
        <f>ПОСТУПИВШИЕ!E84</f>
        <v>1</v>
      </c>
      <c r="D84" s="96">
        <f>ПОСТУПИВШИЕ!F84</f>
        <v>4320.91</v>
      </c>
      <c r="E84" s="213">
        <f>Расход!E84</f>
        <v>1</v>
      </c>
      <c r="F84" s="80">
        <f>Расход!F84</f>
        <v>1457.85</v>
      </c>
      <c r="G84" s="167">
        <f>E84/C84*100</f>
        <v>100</v>
      </c>
      <c r="H84" s="168">
        <f t="shared" si="3"/>
        <v>33.739420631302202</v>
      </c>
      <c r="J84" s="45"/>
      <c r="K84" s="45"/>
    </row>
    <row r="85" spans="1:11" ht="15" customHeight="1">
      <c r="A85" s="4">
        <v>76</v>
      </c>
      <c r="B85" s="9" t="s">
        <v>78</v>
      </c>
      <c r="C85" s="213">
        <f>ПОСТУПИВШИЕ!E85</f>
        <v>0</v>
      </c>
      <c r="D85" s="96">
        <f>ПОСТУПИВШИЕ!F85</f>
        <v>0</v>
      </c>
      <c r="E85" s="213">
        <f>Расход!E85</f>
        <v>0</v>
      </c>
      <c r="F85" s="80">
        <f>Расход!F85</f>
        <v>0</v>
      </c>
      <c r="G85" s="167" t="s">
        <v>114</v>
      </c>
      <c r="H85" s="168" t="s">
        <v>114</v>
      </c>
      <c r="J85" s="45"/>
      <c r="K85" s="45"/>
    </row>
    <row r="86" spans="1:11" ht="15" customHeight="1">
      <c r="A86" s="4">
        <v>77</v>
      </c>
      <c r="B86" s="9" t="s">
        <v>79</v>
      </c>
      <c r="C86" s="213">
        <f>ПОСТУПИВШИЕ!E86</f>
        <v>2</v>
      </c>
      <c r="D86" s="96">
        <f>ПОСТУПИВШИЕ!F86</f>
        <v>0</v>
      </c>
      <c r="E86" s="213">
        <f>Расход!E86</f>
        <v>0</v>
      </c>
      <c r="F86" s="80">
        <f>Расход!F86</f>
        <v>0</v>
      </c>
      <c r="G86" s="167">
        <f>E86/C86*100</f>
        <v>0</v>
      </c>
      <c r="H86" s="168" t="e">
        <f t="shared" si="3"/>
        <v>#DIV/0!</v>
      </c>
      <c r="J86" s="45"/>
      <c r="K86" s="45"/>
    </row>
    <row r="87" spans="1:11" ht="15" customHeight="1">
      <c r="A87" s="4">
        <v>78</v>
      </c>
      <c r="B87" s="9" t="s">
        <v>80</v>
      </c>
      <c r="C87" s="213">
        <f>ПОСТУПИВШИЕ!E87</f>
        <v>4</v>
      </c>
      <c r="D87" s="96">
        <f>ПОСТУПИВШИЕ!F87</f>
        <v>48578.65</v>
      </c>
      <c r="E87" s="213">
        <f>Расход!E87</f>
        <v>1</v>
      </c>
      <c r="F87" s="80">
        <f>Расход!F87</f>
        <v>3044.19</v>
      </c>
      <c r="G87" s="167">
        <f t="shared" si="2"/>
        <v>25</v>
      </c>
      <c r="H87" s="168">
        <f t="shared" si="3"/>
        <v>6.2665183161738742</v>
      </c>
      <c r="J87" s="45"/>
      <c r="K87" s="45"/>
    </row>
    <row r="88" spans="1:11" ht="15" customHeight="1">
      <c r="A88" s="18"/>
      <c r="B88" s="19" t="s">
        <v>81</v>
      </c>
      <c r="C88" s="217">
        <f>ПОСТУПИВШИЕ!E88</f>
        <v>75</v>
      </c>
      <c r="D88" s="100">
        <f>ПОСТУПИВШИЕ!F88</f>
        <v>717148.67999999993</v>
      </c>
      <c r="E88" s="215">
        <f>Расход!E88</f>
        <v>43</v>
      </c>
      <c r="F88" s="67">
        <f>SUM(F78:F87)</f>
        <v>360558.22999999992</v>
      </c>
      <c r="G88" s="163">
        <f>E88/C88*100</f>
        <v>57.333333333333336</v>
      </c>
      <c r="H88" s="164">
        <f t="shared" si="3"/>
        <v>50.276635801658308</v>
      </c>
      <c r="J88" s="45"/>
      <c r="K88" s="45"/>
    </row>
    <row r="89" spans="1:11" ht="15" customHeight="1">
      <c r="A89" s="4">
        <v>79</v>
      </c>
      <c r="B89" s="10" t="s">
        <v>82</v>
      </c>
      <c r="C89" s="213">
        <f>ПОСТУПИВШИЕ!E89</f>
        <v>3</v>
      </c>
      <c r="D89" s="96">
        <f>ПОСТУПИВШИЕ!F89</f>
        <v>13474.63</v>
      </c>
      <c r="E89" s="213">
        <f>Расход!E89</f>
        <v>9</v>
      </c>
      <c r="F89" s="80">
        <f>Расход!F89</f>
        <v>47439.4</v>
      </c>
      <c r="G89" s="167">
        <f t="shared" si="2"/>
        <v>300</v>
      </c>
      <c r="H89" s="168">
        <f t="shared" si="3"/>
        <v>352.06458359153464</v>
      </c>
      <c r="J89" s="45"/>
      <c r="K89" s="45"/>
    </row>
    <row r="90" spans="1:11" ht="15" customHeight="1">
      <c r="A90" s="4">
        <v>80</v>
      </c>
      <c r="B90" s="10" t="s">
        <v>83</v>
      </c>
      <c r="C90" s="213">
        <f>ПОСТУПИВШИЕ!E90</f>
        <v>1</v>
      </c>
      <c r="D90" s="96">
        <f>ПОСТУПИВШИЕ!F90</f>
        <v>944.57</v>
      </c>
      <c r="E90" s="213">
        <f>Расход!E90</f>
        <v>2</v>
      </c>
      <c r="F90" s="80">
        <f>Расход!F90</f>
        <v>2855.77</v>
      </c>
      <c r="G90" s="167">
        <f>E90/C90*100</f>
        <v>200</v>
      </c>
      <c r="H90" s="168">
        <f>F90/D90*100</f>
        <v>302.33545422784971</v>
      </c>
      <c r="J90" s="45"/>
      <c r="K90" s="45"/>
    </row>
    <row r="91" spans="1:11" ht="15" customHeight="1">
      <c r="A91" s="4">
        <v>81</v>
      </c>
      <c r="B91" s="38" t="s">
        <v>70</v>
      </c>
      <c r="C91" s="213">
        <f>ПОСТУПИВШИЕ!E91</f>
        <v>6</v>
      </c>
      <c r="D91" s="96">
        <f>ПОСТУПИВШИЕ!F91</f>
        <v>59223.71</v>
      </c>
      <c r="E91" s="213">
        <f>Расход!E91</f>
        <v>1</v>
      </c>
      <c r="F91" s="80">
        <f>Расход!F91</f>
        <v>113.31</v>
      </c>
      <c r="G91" s="167">
        <f t="shared" si="2"/>
        <v>16.666666666666664</v>
      </c>
      <c r="H91" s="168">
        <f t="shared" si="3"/>
        <v>0.19132539991162323</v>
      </c>
      <c r="J91" s="45"/>
      <c r="K91" s="45"/>
    </row>
    <row r="92" spans="1:11" ht="15" customHeight="1">
      <c r="A92" s="4">
        <v>82</v>
      </c>
      <c r="B92" s="39" t="s">
        <v>84</v>
      </c>
      <c r="C92" s="213">
        <f>ПОСТУПИВШИЕ!E92</f>
        <v>9</v>
      </c>
      <c r="D92" s="96">
        <f>ПОСТУПИВШИЕ!F92</f>
        <v>23275.73</v>
      </c>
      <c r="E92" s="213">
        <f>Расход!E92</f>
        <v>1</v>
      </c>
      <c r="F92" s="80">
        <f>Расход!F92</f>
        <v>8996.94</v>
      </c>
      <c r="G92" s="167">
        <f t="shared" si="2"/>
        <v>11.111111111111111</v>
      </c>
      <c r="H92" s="168">
        <f t="shared" si="3"/>
        <v>38.653739324180172</v>
      </c>
      <c r="J92" s="45"/>
      <c r="K92" s="45"/>
    </row>
    <row r="93" spans="1:11" ht="15" customHeight="1">
      <c r="A93" s="4">
        <v>83</v>
      </c>
      <c r="B93" s="39" t="s">
        <v>85</v>
      </c>
      <c r="C93" s="213">
        <f>ПОСТУПИВШИЕ!E93</f>
        <v>3</v>
      </c>
      <c r="D93" s="96">
        <f>ПОСТУПИВШИЕ!F93</f>
        <v>10569.539999999999</v>
      </c>
      <c r="E93" s="213">
        <f>Расход!E93</f>
        <v>2</v>
      </c>
      <c r="F93" s="80">
        <f>Расход!F93</f>
        <v>10865.07</v>
      </c>
      <c r="G93" s="167">
        <f t="shared" si="2"/>
        <v>66.666666666666657</v>
      </c>
      <c r="H93" s="168">
        <f t="shared" si="3"/>
        <v>102.79605356524503</v>
      </c>
      <c r="J93" s="45"/>
      <c r="K93" s="45"/>
    </row>
    <row r="94" spans="1:11" ht="15" customHeight="1">
      <c r="A94" s="4">
        <v>84</v>
      </c>
      <c r="B94" s="39" t="s">
        <v>86</v>
      </c>
      <c r="C94" s="213">
        <f>ПОСТУПИВШИЕ!E94</f>
        <v>11</v>
      </c>
      <c r="D94" s="96">
        <f>ПОСТУПИВШИЕ!F94</f>
        <v>125647.55</v>
      </c>
      <c r="E94" s="213">
        <f>Расход!E94</f>
        <v>3</v>
      </c>
      <c r="F94" s="80">
        <f>Расход!F94</f>
        <v>7564.0599999999995</v>
      </c>
      <c r="G94" s="167">
        <f t="shared" si="2"/>
        <v>27.27272727272727</v>
      </c>
      <c r="H94" s="168">
        <f t="shared" si="3"/>
        <v>6.0200616725117202</v>
      </c>
      <c r="J94" s="45"/>
      <c r="K94" s="45"/>
    </row>
    <row r="95" spans="1:11" ht="15" customHeight="1">
      <c r="A95" s="4">
        <v>85</v>
      </c>
      <c r="B95" s="38" t="s">
        <v>77</v>
      </c>
      <c r="C95" s="213">
        <f>ПОСТУПИВШИЕ!E95</f>
        <v>2</v>
      </c>
      <c r="D95" s="96">
        <f>ПОСТУПИВШИЕ!F95</f>
        <v>133.43</v>
      </c>
      <c r="E95" s="213">
        <f>Расход!E95</f>
        <v>2</v>
      </c>
      <c r="F95" s="80">
        <f>Расход!F95</f>
        <v>5655.39</v>
      </c>
      <c r="G95" s="167">
        <f t="shared" si="2"/>
        <v>100</v>
      </c>
      <c r="H95" s="168">
        <f t="shared" si="3"/>
        <v>4238.4696095330892</v>
      </c>
      <c r="J95" s="45"/>
      <c r="K95" s="45"/>
    </row>
    <row r="96" spans="1:11" ht="15" customHeight="1">
      <c r="A96" s="4">
        <v>86</v>
      </c>
      <c r="B96" s="10" t="s">
        <v>87</v>
      </c>
      <c r="C96" s="213">
        <f>ПОСТУПИВШИЕ!E96</f>
        <v>8</v>
      </c>
      <c r="D96" s="96">
        <f>ПОСТУПИВШИЕ!F96</f>
        <v>93146.79</v>
      </c>
      <c r="E96" s="213">
        <f>Расход!E96</f>
        <v>14</v>
      </c>
      <c r="F96" s="80">
        <f>Расход!F96</f>
        <v>114540.48999999999</v>
      </c>
      <c r="G96" s="167">
        <f t="shared" si="2"/>
        <v>175</v>
      </c>
      <c r="H96" s="168">
        <f t="shared" si="3"/>
        <v>122.96772653142423</v>
      </c>
      <c r="J96" s="45"/>
      <c r="K96" s="45"/>
    </row>
    <row r="97" spans="1:11" ht="15" customHeight="1">
      <c r="A97" s="4">
        <v>87</v>
      </c>
      <c r="B97" s="10" t="s">
        <v>88</v>
      </c>
      <c r="C97" s="213">
        <f>ПОСТУПИВШИЕ!E97</f>
        <v>12</v>
      </c>
      <c r="D97" s="96">
        <f>ПОСТУПИВШИЕ!F97</f>
        <v>131594.68</v>
      </c>
      <c r="E97" s="213">
        <f>Расход!E97</f>
        <v>2</v>
      </c>
      <c r="F97" s="80">
        <f>Расход!F97</f>
        <v>4220</v>
      </c>
      <c r="G97" s="167">
        <f t="shared" si="2"/>
        <v>16.666666666666664</v>
      </c>
      <c r="H97" s="168">
        <f t="shared" si="3"/>
        <v>3.2068165673566749</v>
      </c>
      <c r="J97" s="45"/>
      <c r="K97" s="45"/>
    </row>
    <row r="98" spans="1:11" ht="15" customHeight="1">
      <c r="A98" s="4">
        <v>88</v>
      </c>
      <c r="B98" s="10" t="s">
        <v>89</v>
      </c>
      <c r="C98" s="213">
        <f>ПОСТУПИВШИЕ!E98</f>
        <v>9</v>
      </c>
      <c r="D98" s="96">
        <f>ПОСТУПИВШИЕ!F98</f>
        <v>228784.91</v>
      </c>
      <c r="E98" s="213">
        <f>Расход!E98</f>
        <v>5</v>
      </c>
      <c r="F98" s="80">
        <f>Расход!F98</f>
        <v>4220</v>
      </c>
      <c r="G98" s="167">
        <f t="shared" si="2"/>
        <v>55.555555555555557</v>
      </c>
      <c r="H98" s="168">
        <f t="shared" si="3"/>
        <v>1.8445272461369937</v>
      </c>
      <c r="J98" s="45"/>
      <c r="K98" s="45"/>
    </row>
    <row r="99" spans="1:11" ht="15" customHeight="1">
      <c r="A99" s="4">
        <v>89</v>
      </c>
      <c r="B99" s="10" t="s">
        <v>90</v>
      </c>
      <c r="C99" s="213">
        <f>ПОСТУПИВШИЕ!E99</f>
        <v>3</v>
      </c>
      <c r="D99" s="96">
        <f>ПОСТУПИВШИЕ!F99</f>
        <v>17386.46</v>
      </c>
      <c r="E99" s="213">
        <f>Расход!E99</f>
        <v>5</v>
      </c>
      <c r="F99" s="80">
        <f>Расход!F99</f>
        <v>104090.66</v>
      </c>
      <c r="G99" s="167">
        <f t="shared" si="2"/>
        <v>166.66666666666669</v>
      </c>
      <c r="H99" s="168">
        <f t="shared" si="3"/>
        <v>598.68805955899018</v>
      </c>
      <c r="J99" s="45"/>
      <c r="K99" s="45"/>
    </row>
    <row r="100" spans="1:11" ht="15.75" customHeight="1">
      <c r="A100" s="18"/>
      <c r="B100" s="20" t="s">
        <v>91</v>
      </c>
      <c r="C100" s="217">
        <f>ПОСТУПИВШИЕ!E100</f>
        <v>67</v>
      </c>
      <c r="D100" s="100">
        <f>ПОСТУПИВШИЕ!F100</f>
        <v>704181.99999999988</v>
      </c>
      <c r="E100" s="215">
        <f>Расход!E100</f>
        <v>46</v>
      </c>
      <c r="F100" s="67">
        <f>SUM(F89:F99)</f>
        <v>310561.08999999997</v>
      </c>
      <c r="G100" s="163">
        <f t="shared" si="2"/>
        <v>68.656716417910445</v>
      </c>
      <c r="H100" s="164">
        <f t="shared" si="3"/>
        <v>44.102389723111358</v>
      </c>
      <c r="J100" s="45"/>
      <c r="K100" s="45"/>
    </row>
    <row r="101" spans="1:11" ht="15" customHeight="1">
      <c r="A101" s="4">
        <v>90</v>
      </c>
      <c r="B101" s="17" t="s">
        <v>104</v>
      </c>
      <c r="C101" s="213">
        <f>ПОСТУПИВШИЕ!E101</f>
        <v>0</v>
      </c>
      <c r="D101" s="96">
        <f>ПОСТУПИВШИЕ!F101</f>
        <v>1068.22</v>
      </c>
      <c r="E101" s="213">
        <f>Расход!E101</f>
        <v>0</v>
      </c>
      <c r="F101" s="80">
        <f>Расход!F101</f>
        <v>0</v>
      </c>
      <c r="G101" s="167" t="s">
        <v>114</v>
      </c>
      <c r="H101" s="168" t="s">
        <v>114</v>
      </c>
      <c r="J101" s="45"/>
      <c r="K101" s="45"/>
    </row>
    <row r="102" spans="1:11" ht="15" customHeight="1">
      <c r="A102" s="18"/>
      <c r="B102" s="20" t="s">
        <v>93</v>
      </c>
      <c r="C102" s="218">
        <f>ПОСТУПИВШИЕ!E102</f>
        <v>0</v>
      </c>
      <c r="D102" s="100">
        <f>ПОСТУПИВШИЕ!F102</f>
        <v>1068.22</v>
      </c>
      <c r="E102" s="215">
        <f>Расход!E102</f>
        <v>0</v>
      </c>
      <c r="F102" s="67">
        <f>F101</f>
        <v>0</v>
      </c>
      <c r="G102" s="163" t="s">
        <v>114</v>
      </c>
      <c r="H102" s="164" t="s">
        <v>114</v>
      </c>
      <c r="J102" s="45"/>
      <c r="K102" s="45"/>
    </row>
    <row r="103" spans="1:11" ht="15" customHeight="1">
      <c r="A103" s="21"/>
      <c r="B103" s="20" t="s">
        <v>111</v>
      </c>
      <c r="C103" s="218">
        <f>ПОСТУПИВШИЕ!E103</f>
        <v>6633</v>
      </c>
      <c r="D103" s="100">
        <f>ПОСТУПИВШИЕ!F103</f>
        <v>56200763.61999999</v>
      </c>
      <c r="E103" s="216">
        <f>Расход!E103</f>
        <v>6307</v>
      </c>
      <c r="F103" s="66">
        <f>F22+F34+F47+F55+F70+F77+F88+F100+F102</f>
        <v>199102986.74000001</v>
      </c>
      <c r="G103" s="163">
        <f>E103/C103*100</f>
        <v>95.085180159807024</v>
      </c>
      <c r="H103" s="164">
        <f>F103/D103*100</f>
        <v>354.2709634449626</v>
      </c>
      <c r="J103" s="45"/>
      <c r="K103" s="45"/>
    </row>
    <row r="104" spans="1:11">
      <c r="A104" s="5"/>
      <c r="B104" s="2"/>
      <c r="C104" s="1"/>
      <c r="E104" s="89"/>
      <c r="F104" s="90"/>
      <c r="G104" s="30"/>
    </row>
    <row r="105" spans="1:11" s="58" customFormat="1" ht="18">
      <c r="A105" s="55"/>
      <c r="B105" s="56" t="s">
        <v>159</v>
      </c>
      <c r="C105" s="295" t="s">
        <v>115</v>
      </c>
      <c r="D105" s="295"/>
      <c r="E105" s="295"/>
      <c r="F105" s="57" t="s">
        <v>160</v>
      </c>
      <c r="G105" s="60"/>
      <c r="H105" s="77"/>
    </row>
    <row r="106" spans="1:11">
      <c r="A106" s="5"/>
      <c r="B106" s="2"/>
      <c r="C106" s="1"/>
    </row>
    <row r="107" spans="1:11">
      <c r="A107" s="5"/>
      <c r="B107" s="2"/>
      <c r="C107" s="1"/>
    </row>
    <row r="108" spans="1:11">
      <c r="A108" s="5"/>
      <c r="B108" s="2"/>
      <c r="C108" s="1"/>
      <c r="D108" s="72"/>
      <c r="E108" s="84"/>
      <c r="F108" s="87"/>
      <c r="G108" s="1"/>
      <c r="H108" s="45"/>
    </row>
    <row r="109" spans="1:11">
      <c r="A109" s="5"/>
      <c r="B109" s="2"/>
      <c r="C109" s="1"/>
    </row>
    <row r="110" spans="1:11">
      <c r="A110" s="5"/>
      <c r="B110" s="2"/>
      <c r="C110" s="1"/>
      <c r="E110" s="84"/>
      <c r="F110" s="84"/>
    </row>
    <row r="111" spans="1:11">
      <c r="A111" s="5"/>
      <c r="B111" s="2"/>
      <c r="C111" s="1"/>
    </row>
    <row r="112" spans="1:11">
      <c r="A112" s="5"/>
      <c r="B112" s="2"/>
      <c r="C112" s="1"/>
    </row>
    <row r="113" spans="1:3">
      <c r="A113" s="5"/>
      <c r="B113" s="2"/>
      <c r="C113" s="1"/>
    </row>
    <row r="114" spans="1:3">
      <c r="A114" s="5"/>
      <c r="B114" s="2"/>
      <c r="C114" s="1"/>
    </row>
    <row r="115" spans="1:3">
      <c r="A115" s="5"/>
      <c r="B115" s="2"/>
      <c r="C115" s="1"/>
    </row>
    <row r="116" spans="1:3">
      <c r="A116" s="5"/>
      <c r="B116" s="2"/>
      <c r="C116" s="1"/>
    </row>
    <row r="117" spans="1:3">
      <c r="A117" s="5"/>
      <c r="B117" s="2"/>
      <c r="C117" s="1"/>
    </row>
    <row r="118" spans="1:3">
      <c r="A118" s="5"/>
      <c r="B118" s="2"/>
      <c r="C118" s="1"/>
    </row>
    <row r="119" spans="1:3">
      <c r="A119" s="5"/>
      <c r="B119" s="2"/>
      <c r="C119" s="1"/>
    </row>
    <row r="120" spans="1:3">
      <c r="A120" s="5"/>
      <c r="B120" s="2"/>
      <c r="C120" s="1"/>
    </row>
    <row r="121" spans="1:3">
      <c r="A121" s="5"/>
      <c r="B121" s="2"/>
      <c r="C121" s="1"/>
    </row>
    <row r="122" spans="1:3">
      <c r="A122" s="5"/>
      <c r="B122" s="2"/>
      <c r="C122" s="1"/>
    </row>
    <row r="123" spans="1:3">
      <c r="A123" s="5"/>
      <c r="B123" s="2"/>
      <c r="C123" s="1"/>
    </row>
    <row r="124" spans="1:3">
      <c r="A124" s="5"/>
      <c r="B124" s="2"/>
      <c r="C124" s="1"/>
    </row>
    <row r="125" spans="1:3">
      <c r="A125" s="5"/>
      <c r="B125" s="2"/>
      <c r="C125" s="1"/>
    </row>
    <row r="126" spans="1:3">
      <c r="A126" s="5"/>
      <c r="B126" s="2"/>
      <c r="C126" s="1"/>
    </row>
    <row r="127" spans="1:3">
      <c r="A127" s="5"/>
      <c r="B127" s="2"/>
      <c r="C127" s="1"/>
    </row>
    <row r="128" spans="1:3">
      <c r="A128" s="5"/>
      <c r="B128" s="2"/>
      <c r="C128" s="1"/>
    </row>
    <row r="129" spans="1:3">
      <c r="A129" s="5"/>
      <c r="B129" s="2"/>
      <c r="C129" s="1"/>
    </row>
    <row r="130" spans="1:3">
      <c r="A130" s="5"/>
      <c r="B130" s="2"/>
      <c r="C130" s="1"/>
    </row>
    <row r="131" spans="1:3">
      <c r="A131" s="5"/>
      <c r="B131" s="2"/>
      <c r="C131" s="1"/>
    </row>
    <row r="132" spans="1:3">
      <c r="A132" s="5"/>
      <c r="B132" s="2"/>
      <c r="C132" s="1"/>
    </row>
    <row r="133" spans="1:3">
      <c r="A133" s="5"/>
      <c r="B133" s="2"/>
      <c r="C133" s="1"/>
    </row>
    <row r="134" spans="1:3">
      <c r="A134" s="5"/>
      <c r="B134" s="2"/>
      <c r="C134" s="1"/>
    </row>
    <row r="135" spans="1:3">
      <c r="A135" s="5"/>
      <c r="B135" s="2"/>
      <c r="C135" s="1"/>
    </row>
    <row r="136" spans="1:3">
      <c r="A136" s="5"/>
      <c r="B136" s="2"/>
      <c r="C136" s="1"/>
    </row>
    <row r="137" spans="1:3">
      <c r="A137" s="5"/>
      <c r="B137" s="2"/>
      <c r="C137" s="1"/>
    </row>
    <row r="138" spans="1:3">
      <c r="A138" s="5"/>
      <c r="B138" s="2"/>
      <c r="C138" s="1"/>
    </row>
    <row r="139" spans="1:3">
      <c r="A139" s="5"/>
      <c r="B139" s="2"/>
      <c r="C139" s="1"/>
    </row>
    <row r="140" spans="1:3">
      <c r="A140" s="5"/>
      <c r="B140" s="2"/>
      <c r="C140" s="1"/>
    </row>
    <row r="141" spans="1:3">
      <c r="A141" s="5"/>
      <c r="B141" s="2"/>
      <c r="C141" s="1"/>
    </row>
    <row r="142" spans="1:3">
      <c r="A142" s="5"/>
      <c r="B142" s="2"/>
      <c r="C142" s="1"/>
    </row>
    <row r="143" spans="1:3">
      <c r="A143" s="5"/>
      <c r="B143" s="2"/>
      <c r="C143" s="1"/>
    </row>
    <row r="144" spans="1:3">
      <c r="A144" s="5"/>
      <c r="B144" s="2"/>
      <c r="C144" s="1"/>
    </row>
    <row r="145" spans="1:3">
      <c r="A145" s="5"/>
      <c r="B145" s="2"/>
      <c r="C145" s="1"/>
    </row>
    <row r="146" spans="1:3">
      <c r="A146" s="5"/>
      <c r="B146" s="2"/>
      <c r="C146" s="1"/>
    </row>
    <row r="147" spans="1:3">
      <c r="A147" s="5"/>
      <c r="B147" s="2"/>
      <c r="C147" s="1"/>
    </row>
    <row r="148" spans="1:3">
      <c r="A148" s="5"/>
      <c r="B148" s="2"/>
      <c r="C148" s="1"/>
    </row>
    <row r="149" spans="1:3">
      <c r="A149" s="5"/>
      <c r="B149" s="2"/>
      <c r="C149" s="1"/>
    </row>
    <row r="150" spans="1:3">
      <c r="A150" s="5"/>
      <c r="B150" s="2"/>
      <c r="C150" s="1"/>
    </row>
    <row r="151" spans="1:3">
      <c r="A151" s="5"/>
      <c r="B151" s="2"/>
      <c r="C151" s="1"/>
    </row>
    <row r="152" spans="1:3">
      <c r="A152" s="5"/>
      <c r="B152" s="2"/>
      <c r="C152" s="1"/>
    </row>
    <row r="153" spans="1:3">
      <c r="A153" s="5"/>
      <c r="B153" s="2"/>
      <c r="C153" s="1"/>
    </row>
    <row r="154" spans="1:3">
      <c r="A154" s="5"/>
      <c r="B154" s="2"/>
      <c r="C154" s="1"/>
    </row>
    <row r="155" spans="1:3">
      <c r="A155" s="5"/>
      <c r="B155" s="2"/>
      <c r="C155" s="1"/>
    </row>
    <row r="156" spans="1:3">
      <c r="A156" s="5"/>
      <c r="B156" s="2"/>
      <c r="C156" s="1"/>
    </row>
    <row r="157" spans="1:3">
      <c r="A157" s="5"/>
      <c r="B157" s="2"/>
      <c r="C157" s="1"/>
    </row>
    <row r="158" spans="1:3">
      <c r="A158" s="5"/>
      <c r="B158" s="2"/>
      <c r="C158" s="1"/>
    </row>
    <row r="159" spans="1:3">
      <c r="A159" s="5"/>
      <c r="B159" s="2"/>
      <c r="C159" s="1"/>
    </row>
    <row r="160" spans="1:3">
      <c r="A160" s="5"/>
      <c r="B160" s="2"/>
      <c r="C160" s="1"/>
    </row>
    <row r="161" spans="1:3">
      <c r="A161" s="5"/>
      <c r="B161" s="2"/>
      <c r="C161" s="1"/>
    </row>
    <row r="162" spans="1:3">
      <c r="A162" s="5"/>
      <c r="B162" s="2"/>
      <c r="C162" s="1"/>
    </row>
    <row r="163" spans="1:3">
      <c r="A163" s="5"/>
      <c r="B163" s="2"/>
      <c r="C163" s="1"/>
    </row>
    <row r="164" spans="1:3">
      <c r="A164" s="5"/>
      <c r="B164" s="2"/>
      <c r="C164" s="1"/>
    </row>
    <row r="165" spans="1:3">
      <c r="A165" s="5"/>
      <c r="B165" s="2"/>
      <c r="C165" s="1"/>
    </row>
    <row r="166" spans="1:3">
      <c r="A166" s="5"/>
      <c r="B166" s="2"/>
      <c r="C166" s="1"/>
    </row>
    <row r="167" spans="1:3">
      <c r="A167" s="5"/>
      <c r="B167" s="2"/>
      <c r="C167" s="1"/>
    </row>
    <row r="168" spans="1:3">
      <c r="A168" s="5"/>
      <c r="B168" s="2"/>
      <c r="C168" s="1"/>
    </row>
    <row r="169" spans="1:3">
      <c r="A169" s="5"/>
      <c r="B169" s="2"/>
      <c r="C169" s="1"/>
    </row>
    <row r="170" spans="1:3">
      <c r="A170" s="5"/>
      <c r="B170" s="2"/>
      <c r="C170" s="1"/>
    </row>
    <row r="171" spans="1:3">
      <c r="A171" s="5"/>
      <c r="B171" s="2"/>
      <c r="C171" s="1"/>
    </row>
    <row r="172" spans="1:3">
      <c r="A172" s="5"/>
      <c r="B172" s="2"/>
      <c r="C172" s="1"/>
    </row>
    <row r="173" spans="1:3">
      <c r="A173" s="5"/>
      <c r="B173" s="2"/>
      <c r="C173" s="1"/>
    </row>
    <row r="174" spans="1:3">
      <c r="A174" s="5"/>
      <c r="B174" s="2"/>
      <c r="C174" s="1"/>
    </row>
    <row r="175" spans="1:3">
      <c r="A175" s="5"/>
      <c r="B175" s="2"/>
      <c r="C175" s="1"/>
    </row>
    <row r="176" spans="1:3">
      <c r="A176" s="5"/>
      <c r="B176" s="2"/>
      <c r="C176" s="1"/>
    </row>
    <row r="177" spans="1:3">
      <c r="A177" s="5"/>
      <c r="B177" s="2"/>
      <c r="C177" s="1"/>
    </row>
    <row r="178" spans="1:3">
      <c r="A178" s="5"/>
      <c r="B178" s="2"/>
      <c r="C178" s="1"/>
    </row>
    <row r="179" spans="1:3">
      <c r="A179" s="5"/>
      <c r="B179" s="2"/>
      <c r="C179" s="1"/>
    </row>
    <row r="180" spans="1:3">
      <c r="A180" s="5"/>
      <c r="B180" s="2"/>
      <c r="C180" s="1"/>
    </row>
    <row r="181" spans="1:3">
      <c r="A181" s="5"/>
      <c r="B181" s="2"/>
      <c r="C181" s="1"/>
    </row>
    <row r="182" spans="1:3">
      <c r="A182" s="5"/>
      <c r="B182" s="2"/>
      <c r="C182" s="1"/>
    </row>
    <row r="183" spans="1:3">
      <c r="A183" s="5"/>
      <c r="B183" s="2"/>
      <c r="C183" s="1"/>
    </row>
    <row r="184" spans="1:3">
      <c r="A184" s="5"/>
      <c r="B184" s="2"/>
      <c r="C184" s="1"/>
    </row>
    <row r="185" spans="1:3">
      <c r="A185" s="5"/>
      <c r="B185" s="2"/>
      <c r="C185" s="1"/>
    </row>
    <row r="186" spans="1:3">
      <c r="A186" s="5"/>
      <c r="B186" s="2"/>
      <c r="C186" s="1"/>
    </row>
    <row r="187" spans="1:3">
      <c r="A187" s="5"/>
      <c r="B187" s="2"/>
      <c r="C187" s="1"/>
    </row>
    <row r="188" spans="1:3">
      <c r="A188" s="5"/>
      <c r="B188" s="2"/>
      <c r="C188" s="1"/>
    </row>
    <row r="189" spans="1:3">
      <c r="A189" s="5"/>
      <c r="B189" s="2"/>
      <c r="C189" s="1"/>
    </row>
    <row r="190" spans="1:3">
      <c r="A190" s="5"/>
      <c r="B190" s="2"/>
      <c r="C190" s="1"/>
    </row>
    <row r="191" spans="1:3">
      <c r="A191" s="5"/>
      <c r="B191" s="2"/>
      <c r="C191" s="1"/>
    </row>
    <row r="192" spans="1:3">
      <c r="A192" s="5"/>
      <c r="B192" s="2"/>
      <c r="C192" s="1"/>
    </row>
    <row r="193" spans="1:3">
      <c r="A193" s="5"/>
      <c r="B193" s="2"/>
      <c r="C193" s="1"/>
    </row>
    <row r="194" spans="1:3">
      <c r="A194" s="5"/>
      <c r="B194" s="2"/>
      <c r="C194" s="1"/>
    </row>
    <row r="195" spans="1:3">
      <c r="A195" s="5"/>
      <c r="B195" s="2"/>
      <c r="C195" s="1"/>
    </row>
    <row r="196" spans="1:3">
      <c r="A196" s="5"/>
      <c r="B196" s="2"/>
      <c r="C196" s="1"/>
    </row>
    <row r="197" spans="1:3">
      <c r="A197" s="5"/>
      <c r="B197" s="2"/>
      <c r="C197" s="1"/>
    </row>
    <row r="198" spans="1:3">
      <c r="A198" s="5"/>
      <c r="B198" s="2"/>
      <c r="C198" s="1"/>
    </row>
  </sheetData>
  <mergeCells count="8">
    <mergeCell ref="C105:E105"/>
    <mergeCell ref="A1:H1"/>
    <mergeCell ref="H2:H3"/>
    <mergeCell ref="A2:A3"/>
    <mergeCell ref="B2:B3"/>
    <mergeCell ref="C2:D2"/>
    <mergeCell ref="E2:F2"/>
    <mergeCell ref="G2:G3"/>
  </mergeCells>
  <pageMargins left="0.70866141732283472" right="0.70866141732283472" top="0.55118110236220474" bottom="0.55118110236220474" header="0.31496062992125984" footer="0.31496062992125984"/>
  <pageSetup paperSize="9" scale="46" fitToWidth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66FFFF"/>
    <pageSetUpPr fitToPage="1"/>
  </sheetPr>
  <dimension ref="A1:T116"/>
  <sheetViews>
    <sheetView topLeftCell="A61" workbookViewId="0">
      <selection activeCell="I1" sqref="I1"/>
    </sheetView>
  </sheetViews>
  <sheetFormatPr defaultRowHeight="12.75"/>
  <cols>
    <col min="1" max="1" width="14.28515625" style="3" customWidth="1"/>
    <col min="2" max="2" width="43.140625" bestFit="1" customWidth="1"/>
    <col min="3" max="3" width="21" style="135" customWidth="1"/>
    <col min="4" max="4" width="22" style="121" customWidth="1"/>
    <col min="5" max="5" width="21" style="94" customWidth="1"/>
    <col min="6" max="6" width="21" style="83" customWidth="1"/>
    <col min="7" max="7" width="22.140625" style="3" customWidth="1"/>
    <col min="8" max="8" width="22" style="130" customWidth="1"/>
    <col min="9" max="9" width="29.140625" customWidth="1"/>
    <col min="10" max="16" width="0" hidden="1" customWidth="1"/>
    <col min="17" max="17" width="17.42578125" customWidth="1"/>
    <col min="18" max="18" width="16" customWidth="1"/>
    <col min="19" max="19" width="14.5703125" bestFit="1" customWidth="1"/>
  </cols>
  <sheetData>
    <row r="1" spans="1:20" ht="36" customHeight="1">
      <c r="A1" s="306" t="s">
        <v>192</v>
      </c>
      <c r="B1" s="306"/>
      <c r="C1" s="320"/>
      <c r="D1" s="306"/>
      <c r="E1" s="320"/>
      <c r="F1" s="306"/>
      <c r="G1" s="306"/>
      <c r="H1" s="306"/>
    </row>
    <row r="2" spans="1:20" ht="66.75" customHeight="1">
      <c r="A2" s="322" t="s">
        <v>96</v>
      </c>
      <c r="B2" s="300" t="s">
        <v>0</v>
      </c>
      <c r="C2" s="313" t="s">
        <v>193</v>
      </c>
      <c r="D2" s="314"/>
      <c r="E2" s="316" t="s">
        <v>194</v>
      </c>
      <c r="F2" s="316"/>
      <c r="G2" s="321" t="s">
        <v>98</v>
      </c>
      <c r="H2" s="319" t="s">
        <v>105</v>
      </c>
    </row>
    <row r="3" spans="1:20" ht="64.150000000000006" customHeight="1">
      <c r="A3" s="323"/>
      <c r="B3" s="301"/>
      <c r="C3" s="132" t="s">
        <v>94</v>
      </c>
      <c r="D3" s="118" t="s">
        <v>112</v>
      </c>
      <c r="E3" s="7" t="s">
        <v>94</v>
      </c>
      <c r="F3" s="7" t="s">
        <v>113</v>
      </c>
      <c r="G3" s="321"/>
      <c r="H3" s="319"/>
      <c r="I3" s="220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15">
      <c r="A4" s="14">
        <v>1</v>
      </c>
      <c r="B4" s="9" t="s">
        <v>1</v>
      </c>
      <c r="C4" s="213">
        <v>31</v>
      </c>
      <c r="D4" s="291">
        <v>117925.61</v>
      </c>
      <c r="E4" s="213">
        <v>39</v>
      </c>
      <c r="F4" s="290">
        <v>260165.71000000002</v>
      </c>
      <c r="G4" s="122">
        <f>E4/C4*100-100</f>
        <v>25.806451612903231</v>
      </c>
      <c r="H4" s="123">
        <f>F4/D4*100-100</f>
        <v>120.618498390638</v>
      </c>
      <c r="I4" s="220"/>
      <c r="J4" s="44"/>
      <c r="K4" s="44"/>
      <c r="L4" s="44"/>
      <c r="M4" s="44"/>
      <c r="N4" s="44"/>
      <c r="O4" s="44"/>
      <c r="P4" s="44"/>
      <c r="Q4" s="44"/>
      <c r="R4" s="241"/>
      <c r="S4" s="46"/>
      <c r="T4" s="44"/>
    </row>
    <row r="5" spans="1:20" ht="15">
      <c r="A5" s="14">
        <f>A4+1</f>
        <v>2</v>
      </c>
      <c r="B5" s="9" t="s">
        <v>2</v>
      </c>
      <c r="C5" s="213">
        <v>6</v>
      </c>
      <c r="D5" s="291">
        <v>122726.41</v>
      </c>
      <c r="E5" s="213">
        <v>1</v>
      </c>
      <c r="F5" s="290">
        <v>57936.37</v>
      </c>
      <c r="G5" s="122">
        <f t="shared" ref="G5:G19" si="0">E5/C5*100-100</f>
        <v>-83.333333333333343</v>
      </c>
      <c r="H5" s="123">
        <f t="shared" ref="H5:H19" si="1">F5/D5*100-100</f>
        <v>-52.792255554448303</v>
      </c>
      <c r="I5" s="220"/>
      <c r="J5" s="44"/>
      <c r="K5" s="44"/>
      <c r="L5" s="44"/>
      <c r="M5" s="44"/>
      <c r="N5" s="44"/>
      <c r="O5" s="44"/>
      <c r="P5" s="44"/>
      <c r="Q5" s="44"/>
      <c r="R5" s="241"/>
      <c r="S5" s="44"/>
      <c r="T5" s="44"/>
    </row>
    <row r="6" spans="1:20" ht="15">
      <c r="A6" s="14">
        <f t="shared" ref="A6:A21" si="2">A5+1</f>
        <v>3</v>
      </c>
      <c r="B6" s="9" t="s">
        <v>3</v>
      </c>
      <c r="C6" s="213">
        <v>21</v>
      </c>
      <c r="D6" s="291">
        <v>28452.9</v>
      </c>
      <c r="E6" s="213">
        <v>31</v>
      </c>
      <c r="F6" s="290">
        <v>117818.01999999999</v>
      </c>
      <c r="G6" s="122">
        <f t="shared" si="0"/>
        <v>47.61904761904762</v>
      </c>
      <c r="H6" s="123">
        <f t="shared" si="1"/>
        <v>314.08088454955373</v>
      </c>
      <c r="I6" s="220"/>
      <c r="J6" s="44"/>
      <c r="K6" s="44"/>
      <c r="L6" s="44"/>
      <c r="M6" s="44"/>
      <c r="N6" s="44"/>
      <c r="O6" s="44"/>
      <c r="P6" s="44"/>
      <c r="Q6" s="44"/>
      <c r="R6" s="241"/>
      <c r="S6" s="44"/>
      <c r="T6" s="44"/>
    </row>
    <row r="7" spans="1:20" s="23" customFormat="1" ht="15">
      <c r="A7" s="98">
        <f t="shared" si="2"/>
        <v>4</v>
      </c>
      <c r="B7" s="99" t="s">
        <v>4</v>
      </c>
      <c r="C7" s="213">
        <v>195</v>
      </c>
      <c r="D7" s="291">
        <v>6308228.8399999999</v>
      </c>
      <c r="E7" s="213">
        <v>228</v>
      </c>
      <c r="F7" s="290">
        <v>7376014.6200000001</v>
      </c>
      <c r="G7" s="122">
        <f t="shared" si="0"/>
        <v>16.923076923076934</v>
      </c>
      <c r="H7" s="123">
        <f t="shared" si="1"/>
        <v>16.926871346664726</v>
      </c>
      <c r="I7" s="220"/>
      <c r="J7" s="231"/>
      <c r="K7" s="231"/>
      <c r="L7" s="231"/>
      <c r="M7" s="231"/>
      <c r="N7" s="231"/>
      <c r="O7" s="231"/>
      <c r="P7" s="231"/>
      <c r="Q7" s="231"/>
      <c r="R7" s="241"/>
      <c r="S7" s="242"/>
      <c r="T7" s="231"/>
    </row>
    <row r="8" spans="1:20" ht="15">
      <c r="A8" s="14">
        <f t="shared" si="2"/>
        <v>5</v>
      </c>
      <c r="B8" s="9" t="s">
        <v>5</v>
      </c>
      <c r="C8" s="213">
        <v>917</v>
      </c>
      <c r="D8" s="291">
        <v>27899797.27</v>
      </c>
      <c r="E8" s="213">
        <v>1975</v>
      </c>
      <c r="F8" s="290">
        <v>107142173.73</v>
      </c>
      <c r="G8" s="122">
        <f t="shared" si="0"/>
        <v>115.37622682660847</v>
      </c>
      <c r="H8" s="123">
        <f t="shared" si="1"/>
        <v>284.02491850794729</v>
      </c>
      <c r="I8" s="220"/>
      <c r="J8" s="44"/>
      <c r="K8" s="44"/>
      <c r="L8" s="44"/>
      <c r="M8" s="44"/>
      <c r="N8" s="44"/>
      <c r="O8" s="44"/>
      <c r="P8" s="44"/>
      <c r="Q8" s="44"/>
      <c r="R8" s="241"/>
      <c r="S8" s="44"/>
      <c r="T8" s="44"/>
    </row>
    <row r="9" spans="1:20" ht="15">
      <c r="A9" s="14">
        <f t="shared" si="2"/>
        <v>6</v>
      </c>
      <c r="B9" s="9" t="s">
        <v>6</v>
      </c>
      <c r="C9" s="213">
        <v>8</v>
      </c>
      <c r="D9" s="291">
        <v>73656.400000000009</v>
      </c>
      <c r="E9" s="213">
        <v>7</v>
      </c>
      <c r="F9" s="290">
        <v>149531.07999999999</v>
      </c>
      <c r="G9" s="122">
        <f t="shared" si="0"/>
        <v>-12.5</v>
      </c>
      <c r="H9" s="123">
        <f t="shared" si="1"/>
        <v>103.01165954350196</v>
      </c>
      <c r="I9" s="220"/>
      <c r="J9" s="44"/>
      <c r="K9" s="44"/>
      <c r="L9" s="44"/>
      <c r="M9" s="44"/>
      <c r="N9" s="44"/>
      <c r="O9" s="44"/>
      <c r="P9" s="44"/>
      <c r="Q9" s="44"/>
      <c r="R9" s="241"/>
      <c r="S9" s="44"/>
      <c r="T9" s="44"/>
    </row>
    <row r="10" spans="1:20" ht="15">
      <c r="A10" s="14">
        <f t="shared" si="2"/>
        <v>7</v>
      </c>
      <c r="B10" s="9" t="s">
        <v>7</v>
      </c>
      <c r="C10" s="213">
        <v>70</v>
      </c>
      <c r="D10" s="291">
        <v>564425</v>
      </c>
      <c r="E10" s="213">
        <v>74</v>
      </c>
      <c r="F10" s="290">
        <v>843337.15</v>
      </c>
      <c r="G10" s="122">
        <f t="shared" si="0"/>
        <v>5.7142857142857224</v>
      </c>
      <c r="H10" s="123">
        <f t="shared" si="1"/>
        <v>49.415272179651879</v>
      </c>
      <c r="I10" s="220"/>
      <c r="J10" s="44"/>
      <c r="K10" s="44"/>
      <c r="L10" s="44"/>
      <c r="M10" s="44"/>
      <c r="N10" s="44"/>
      <c r="O10" s="44"/>
      <c r="P10" s="44"/>
      <c r="Q10" s="44"/>
      <c r="R10" s="241"/>
      <c r="S10" s="44"/>
      <c r="T10" s="44"/>
    </row>
    <row r="11" spans="1:20" ht="15">
      <c r="A11" s="14">
        <f t="shared" si="2"/>
        <v>8</v>
      </c>
      <c r="B11" s="9" t="s">
        <v>8</v>
      </c>
      <c r="C11" s="213">
        <v>5</v>
      </c>
      <c r="D11" s="291">
        <v>836628.74</v>
      </c>
      <c r="E11" s="213">
        <v>5</v>
      </c>
      <c r="F11" s="290">
        <v>28700.61</v>
      </c>
      <c r="G11" s="122">
        <f t="shared" si="0"/>
        <v>0</v>
      </c>
      <c r="H11" s="123">
        <f t="shared" si="1"/>
        <v>-96.569492699951951</v>
      </c>
      <c r="I11" s="220"/>
      <c r="J11" s="44"/>
      <c r="K11" s="44"/>
      <c r="L11" s="44"/>
      <c r="M11" s="44"/>
      <c r="N11" s="44"/>
      <c r="O11" s="44"/>
      <c r="P11" s="44"/>
      <c r="Q11" s="44"/>
      <c r="R11" s="241"/>
      <c r="S11" s="44"/>
      <c r="T11" s="44"/>
    </row>
    <row r="12" spans="1:20" ht="15">
      <c r="A12" s="14">
        <f t="shared" si="2"/>
        <v>9</v>
      </c>
      <c r="B12" s="9" t="s">
        <v>9</v>
      </c>
      <c r="C12" s="213">
        <v>9</v>
      </c>
      <c r="D12" s="291">
        <v>27829.54</v>
      </c>
      <c r="E12" s="213">
        <v>22</v>
      </c>
      <c r="F12" s="290">
        <v>102889.76000000001</v>
      </c>
      <c r="G12" s="122">
        <f t="shared" si="0"/>
        <v>144.44444444444446</v>
      </c>
      <c r="H12" s="123">
        <f t="shared" si="1"/>
        <v>269.71419577901759</v>
      </c>
      <c r="I12" s="220"/>
      <c r="J12" s="44"/>
      <c r="K12" s="44"/>
      <c r="L12" s="44"/>
      <c r="M12" s="44"/>
      <c r="N12" s="44"/>
      <c r="O12" s="44"/>
      <c r="P12" s="44"/>
      <c r="Q12" s="44"/>
      <c r="R12" s="241"/>
      <c r="S12" s="44"/>
      <c r="T12" s="44"/>
    </row>
    <row r="13" spans="1:20" ht="15">
      <c r="A13" s="14">
        <f t="shared" si="2"/>
        <v>10</v>
      </c>
      <c r="B13" s="9" t="s">
        <v>10</v>
      </c>
      <c r="C13" s="213">
        <v>19</v>
      </c>
      <c r="D13" s="291">
        <v>413237.33999999997</v>
      </c>
      <c r="E13" s="213">
        <v>8</v>
      </c>
      <c r="F13" s="290">
        <v>105535.53</v>
      </c>
      <c r="G13" s="122">
        <f t="shared" si="0"/>
        <v>-57.894736842105267</v>
      </c>
      <c r="H13" s="123">
        <f t="shared" si="1"/>
        <v>-74.461279321950911</v>
      </c>
      <c r="I13" s="220"/>
      <c r="J13" s="44"/>
      <c r="K13" s="44"/>
      <c r="L13" s="44"/>
      <c r="M13" s="44"/>
      <c r="N13" s="44"/>
      <c r="O13" s="44"/>
      <c r="P13" s="44"/>
      <c r="Q13" s="44"/>
      <c r="R13" s="241"/>
      <c r="S13" s="44"/>
      <c r="T13" s="44"/>
    </row>
    <row r="14" spans="1:20" ht="15">
      <c r="A14" s="14">
        <f t="shared" si="2"/>
        <v>11</v>
      </c>
      <c r="B14" s="9" t="s">
        <v>11</v>
      </c>
      <c r="C14" s="213">
        <v>1635</v>
      </c>
      <c r="D14" s="291">
        <v>36345420.75</v>
      </c>
      <c r="E14" s="213">
        <v>1162</v>
      </c>
      <c r="F14" s="290">
        <v>35017994</v>
      </c>
      <c r="G14" s="122">
        <f t="shared" si="0"/>
        <v>-28.929663608562691</v>
      </c>
      <c r="H14" s="123">
        <f t="shared" si="1"/>
        <v>-3.6522530833543811</v>
      </c>
      <c r="I14" s="220"/>
      <c r="J14" s="44"/>
      <c r="K14" s="44"/>
      <c r="L14" s="44"/>
      <c r="M14" s="44"/>
      <c r="N14" s="44"/>
      <c r="O14" s="44"/>
      <c r="P14" s="44"/>
      <c r="Q14" s="44"/>
      <c r="R14" s="241"/>
      <c r="S14" s="44"/>
      <c r="T14" s="44"/>
    </row>
    <row r="15" spans="1:20" ht="15">
      <c r="A15" s="14">
        <f t="shared" si="2"/>
        <v>12</v>
      </c>
      <c r="B15" s="9" t="s">
        <v>12</v>
      </c>
      <c r="C15" s="213">
        <v>11</v>
      </c>
      <c r="D15" s="291">
        <v>49845.89</v>
      </c>
      <c r="E15" s="213">
        <v>8</v>
      </c>
      <c r="F15" s="290">
        <v>119711.93</v>
      </c>
      <c r="G15" s="122">
        <f t="shared" si="0"/>
        <v>-27.272727272727266</v>
      </c>
      <c r="H15" s="123">
        <f t="shared" si="1"/>
        <v>140.16409376981733</v>
      </c>
      <c r="I15" s="220"/>
      <c r="J15" s="44"/>
      <c r="K15" s="44"/>
      <c r="L15" s="44"/>
      <c r="M15" s="44"/>
      <c r="N15" s="44"/>
      <c r="O15" s="44"/>
      <c r="P15" s="44"/>
      <c r="Q15" s="44"/>
      <c r="R15" s="241"/>
      <c r="S15" s="44"/>
      <c r="T15" s="44"/>
    </row>
    <row r="16" spans="1:20" ht="15">
      <c r="A16" s="14">
        <f t="shared" si="2"/>
        <v>13</v>
      </c>
      <c r="B16" s="9" t="s">
        <v>13</v>
      </c>
      <c r="C16" s="213">
        <v>32</v>
      </c>
      <c r="D16" s="291">
        <v>771387.85</v>
      </c>
      <c r="E16" s="213">
        <v>32</v>
      </c>
      <c r="F16" s="290">
        <v>547483.76</v>
      </c>
      <c r="G16" s="122">
        <f t="shared" si="0"/>
        <v>0</v>
      </c>
      <c r="H16" s="123">
        <f t="shared" si="1"/>
        <v>-29.026136462999773</v>
      </c>
      <c r="I16" s="220"/>
      <c r="J16" s="44"/>
      <c r="K16" s="44"/>
      <c r="L16" s="44"/>
      <c r="M16" s="44"/>
      <c r="N16" s="44"/>
      <c r="O16" s="44"/>
      <c r="P16" s="44"/>
      <c r="Q16" s="44"/>
      <c r="R16" s="241"/>
      <c r="S16" s="44"/>
      <c r="T16" s="44"/>
    </row>
    <row r="17" spans="1:20" ht="15">
      <c r="A17" s="14">
        <f t="shared" si="2"/>
        <v>14</v>
      </c>
      <c r="B17" s="9" t="s">
        <v>14</v>
      </c>
      <c r="C17" s="213">
        <v>10</v>
      </c>
      <c r="D17" s="291">
        <v>81373.58</v>
      </c>
      <c r="E17" s="213">
        <v>0</v>
      </c>
      <c r="F17" s="290">
        <v>0</v>
      </c>
      <c r="G17" s="122">
        <f t="shared" si="0"/>
        <v>-100</v>
      </c>
      <c r="H17" s="123">
        <f t="shared" si="1"/>
        <v>-100</v>
      </c>
      <c r="I17" s="220"/>
      <c r="J17" s="44"/>
      <c r="K17" s="44"/>
      <c r="L17" s="44"/>
      <c r="M17" s="44"/>
      <c r="N17" s="44"/>
      <c r="O17" s="44"/>
      <c r="P17" s="44"/>
      <c r="Q17" s="44"/>
      <c r="R17" s="241"/>
      <c r="S17" s="44"/>
      <c r="T17" s="44"/>
    </row>
    <row r="18" spans="1:20" ht="15">
      <c r="A18" s="14">
        <f t="shared" si="2"/>
        <v>15</v>
      </c>
      <c r="B18" s="9" t="s">
        <v>15</v>
      </c>
      <c r="C18" s="213">
        <v>136</v>
      </c>
      <c r="D18" s="291">
        <v>680440.77</v>
      </c>
      <c r="E18" s="213">
        <v>122</v>
      </c>
      <c r="F18" s="290">
        <v>521205.49</v>
      </c>
      <c r="G18" s="122">
        <f t="shared" si="0"/>
        <v>-10.294117647058826</v>
      </c>
      <c r="H18" s="123">
        <f t="shared" si="1"/>
        <v>-23.401784111201934</v>
      </c>
      <c r="I18" s="220"/>
      <c r="J18" s="44"/>
      <c r="K18" s="44"/>
      <c r="L18" s="44"/>
      <c r="M18" s="44"/>
      <c r="N18" s="44"/>
      <c r="O18" s="44"/>
      <c r="P18" s="44"/>
      <c r="Q18" s="44"/>
      <c r="R18" s="241"/>
      <c r="S18" s="46"/>
      <c r="T18" s="44"/>
    </row>
    <row r="19" spans="1:20" ht="15">
      <c r="A19" s="14">
        <f t="shared" si="2"/>
        <v>16</v>
      </c>
      <c r="B19" s="9" t="s">
        <v>16</v>
      </c>
      <c r="C19" s="213">
        <v>35</v>
      </c>
      <c r="D19" s="291">
        <v>193996.54</v>
      </c>
      <c r="E19" s="213">
        <v>35</v>
      </c>
      <c r="F19" s="290">
        <v>208072.56</v>
      </c>
      <c r="G19" s="122">
        <f t="shared" si="0"/>
        <v>0</v>
      </c>
      <c r="H19" s="123">
        <f t="shared" si="1"/>
        <v>7.255809820113285</v>
      </c>
      <c r="I19" s="220"/>
      <c r="J19" s="44"/>
      <c r="K19" s="44"/>
      <c r="L19" s="44"/>
      <c r="M19" s="44"/>
      <c r="N19" s="44"/>
      <c r="O19" s="44"/>
      <c r="P19" s="44"/>
      <c r="Q19" s="44"/>
      <c r="R19" s="241"/>
      <c r="S19" s="44"/>
      <c r="T19" s="44"/>
    </row>
    <row r="20" spans="1:20" ht="15">
      <c r="A20" s="14">
        <f t="shared" si="2"/>
        <v>17</v>
      </c>
      <c r="B20" s="9" t="s">
        <v>17</v>
      </c>
      <c r="C20" s="213">
        <v>58</v>
      </c>
      <c r="D20" s="291">
        <v>400542.56</v>
      </c>
      <c r="E20" s="213">
        <v>46</v>
      </c>
      <c r="F20" s="290">
        <v>243535.95999999996</v>
      </c>
      <c r="G20" s="122">
        <f t="shared" ref="G20:H22" si="3">E20/C20*100-100</f>
        <v>-20.689655172413794</v>
      </c>
      <c r="H20" s="123">
        <f t="shared" si="3"/>
        <v>-39.198481180127288</v>
      </c>
      <c r="I20" s="220"/>
      <c r="J20" s="44"/>
      <c r="K20" s="44"/>
      <c r="L20" s="44"/>
      <c r="M20" s="44"/>
      <c r="N20" s="44"/>
      <c r="O20" s="44"/>
      <c r="P20" s="44"/>
      <c r="Q20" s="44"/>
      <c r="R20" s="241"/>
      <c r="S20" s="44"/>
      <c r="T20" s="44"/>
    </row>
    <row r="21" spans="1:20" ht="15">
      <c r="A21" s="14">
        <f t="shared" si="2"/>
        <v>18</v>
      </c>
      <c r="B21" s="9" t="s">
        <v>18</v>
      </c>
      <c r="C21" s="213">
        <v>5</v>
      </c>
      <c r="D21" s="291">
        <v>227976.9</v>
      </c>
      <c r="E21" s="213">
        <v>9</v>
      </c>
      <c r="F21" s="290">
        <v>55918.78</v>
      </c>
      <c r="G21" s="122">
        <f t="shared" si="3"/>
        <v>80</v>
      </c>
      <c r="H21" s="123">
        <f t="shared" si="3"/>
        <v>-75.471734197631434</v>
      </c>
      <c r="I21" s="220"/>
      <c r="J21" s="44"/>
      <c r="K21" s="44"/>
      <c r="L21" s="44"/>
      <c r="M21" s="44"/>
      <c r="N21" s="44"/>
      <c r="O21" s="44"/>
      <c r="P21" s="44"/>
      <c r="Q21" s="44"/>
      <c r="R21" s="241"/>
      <c r="S21" s="237"/>
      <c r="T21" s="44"/>
    </row>
    <row r="22" spans="1:20" ht="15.75">
      <c r="A22" s="34"/>
      <c r="B22" s="31" t="s">
        <v>19</v>
      </c>
      <c r="C22" s="254">
        <f>SUM(C4:C21)</f>
        <v>3203</v>
      </c>
      <c r="D22" s="119">
        <f>SUM(D4:D21)</f>
        <v>75143892.890000015</v>
      </c>
      <c r="E22" s="271">
        <f>SUM(E4:E21)</f>
        <v>3804</v>
      </c>
      <c r="F22" s="119">
        <f>SUM(F4:F21)</f>
        <v>152898025.06000003</v>
      </c>
      <c r="G22" s="124">
        <f t="shared" si="3"/>
        <v>18.763659069622236</v>
      </c>
      <c r="H22" s="125">
        <f t="shared" si="3"/>
        <v>103.47365458404053</v>
      </c>
      <c r="I22" s="241"/>
      <c r="J22" s="44"/>
      <c r="K22" s="44"/>
      <c r="L22" s="44"/>
      <c r="M22" s="44"/>
      <c r="N22" s="44"/>
      <c r="O22" s="44"/>
      <c r="P22" s="44"/>
      <c r="Q22" s="237"/>
      <c r="R22" s="241"/>
      <c r="S22" s="243"/>
      <c r="T22" s="44"/>
    </row>
    <row r="23" spans="1:20" ht="15">
      <c r="A23" s="14">
        <f>A21+1</f>
        <v>19</v>
      </c>
      <c r="B23" s="9" t="s">
        <v>20</v>
      </c>
      <c r="C23" s="213">
        <v>11</v>
      </c>
      <c r="D23" s="268">
        <v>38642.36</v>
      </c>
      <c r="E23" s="285">
        <v>7</v>
      </c>
      <c r="F23" s="275">
        <v>30745.41</v>
      </c>
      <c r="G23" s="122">
        <f>E23/C23*100-100</f>
        <v>-36.363636363636367</v>
      </c>
      <c r="H23" s="122">
        <f>F23/D23*100-100</f>
        <v>-20.435993039762579</v>
      </c>
      <c r="I23" s="228"/>
      <c r="J23" s="244"/>
      <c r="K23" s="244"/>
      <c r="L23" s="241"/>
      <c r="M23" s="241"/>
      <c r="N23" s="244"/>
      <c r="O23" s="228"/>
      <c r="P23" s="244"/>
      <c r="Q23" s="244"/>
      <c r="R23" s="241"/>
      <c r="S23" s="44"/>
      <c r="T23" s="44"/>
    </row>
    <row r="24" spans="1:20" ht="15">
      <c r="A24" s="14">
        <f>A23+1</f>
        <v>20</v>
      </c>
      <c r="B24" s="9" t="s">
        <v>21</v>
      </c>
      <c r="C24" s="272">
        <v>4</v>
      </c>
      <c r="D24" s="268">
        <v>87169.45</v>
      </c>
      <c r="E24" s="285">
        <v>14</v>
      </c>
      <c r="F24" s="275">
        <v>22706.04</v>
      </c>
      <c r="G24" s="122">
        <f t="shared" ref="G24:G33" si="4">E24/C24*100-100</f>
        <v>250</v>
      </c>
      <c r="H24" s="123">
        <f t="shared" ref="H24:H33" si="5">F24/D24*100-100</f>
        <v>-73.951837484348005</v>
      </c>
      <c r="I24" s="228"/>
      <c r="J24" s="244"/>
      <c r="K24" s="244"/>
      <c r="L24" s="241"/>
      <c r="M24" s="241"/>
      <c r="N24" s="244"/>
      <c r="O24" s="228"/>
      <c r="P24" s="244"/>
      <c r="Q24" s="244"/>
      <c r="R24" s="241"/>
      <c r="S24" s="44"/>
      <c r="T24" s="44"/>
    </row>
    <row r="25" spans="1:20" ht="15">
      <c r="A25" s="14">
        <v>21</v>
      </c>
      <c r="B25" s="9" t="s">
        <v>22</v>
      </c>
      <c r="C25" s="213">
        <v>431</v>
      </c>
      <c r="D25" s="268">
        <v>14256256.84</v>
      </c>
      <c r="E25" s="285">
        <v>391</v>
      </c>
      <c r="F25" s="275">
        <v>13485694.41</v>
      </c>
      <c r="G25" s="122">
        <f t="shared" ref="G25:H29" si="6">E25/C25*100-100</f>
        <v>-9.2807424593967482</v>
      </c>
      <c r="H25" s="169">
        <f t="shared" si="6"/>
        <v>-5.4050824045058334</v>
      </c>
      <c r="I25" s="228"/>
      <c r="J25" s="244"/>
      <c r="K25" s="244"/>
      <c r="L25" s="241"/>
      <c r="M25" s="241"/>
      <c r="N25" s="244"/>
      <c r="O25" s="228"/>
      <c r="P25" s="244"/>
      <c r="Q25" s="244"/>
      <c r="R25" s="241"/>
      <c r="S25" s="44"/>
      <c r="T25" s="44"/>
    </row>
    <row r="26" spans="1:20" ht="15">
      <c r="A26" s="14">
        <v>22</v>
      </c>
      <c r="B26" s="9" t="s">
        <v>23</v>
      </c>
      <c r="C26" s="213">
        <v>2</v>
      </c>
      <c r="D26" s="268">
        <v>4339.2299999999996</v>
      </c>
      <c r="E26" s="285">
        <v>4</v>
      </c>
      <c r="F26" s="275">
        <v>12815.81</v>
      </c>
      <c r="G26" s="122">
        <f t="shared" si="6"/>
        <v>100</v>
      </c>
      <c r="H26" s="169">
        <f t="shared" si="6"/>
        <v>195.34756166416622</v>
      </c>
      <c r="I26" s="228"/>
      <c r="J26" s="244"/>
      <c r="K26" s="244"/>
      <c r="L26" s="241"/>
      <c r="M26" s="241"/>
      <c r="N26" s="244"/>
      <c r="O26" s="228"/>
      <c r="P26" s="244"/>
      <c r="Q26" s="244"/>
      <c r="R26" s="241"/>
      <c r="S26" s="44"/>
      <c r="T26" s="44"/>
    </row>
    <row r="27" spans="1:20" ht="15">
      <c r="A27" s="14">
        <v>23</v>
      </c>
      <c r="B27" s="9" t="s">
        <v>24</v>
      </c>
      <c r="C27" s="213">
        <v>47</v>
      </c>
      <c r="D27" s="268">
        <v>428408.79999999993</v>
      </c>
      <c r="E27" s="285">
        <v>41</v>
      </c>
      <c r="F27" s="275">
        <v>339811.52999999997</v>
      </c>
      <c r="G27" s="122">
        <f t="shared" si="6"/>
        <v>-12.7659574468085</v>
      </c>
      <c r="H27" s="169">
        <f t="shared" si="6"/>
        <v>-20.680543910395855</v>
      </c>
      <c r="I27" s="228"/>
      <c r="J27" s="244"/>
      <c r="K27" s="244"/>
      <c r="L27" s="241"/>
      <c r="M27" s="241"/>
      <c r="N27" s="244"/>
      <c r="O27" s="228"/>
      <c r="P27" s="244"/>
      <c r="Q27" s="244"/>
      <c r="R27" s="241"/>
      <c r="S27" s="44"/>
      <c r="T27" s="44"/>
    </row>
    <row r="28" spans="1:20" ht="15">
      <c r="A28" s="14">
        <v>24</v>
      </c>
      <c r="B28" s="9" t="s">
        <v>25</v>
      </c>
      <c r="C28" s="213">
        <v>29</v>
      </c>
      <c r="D28" s="268">
        <v>541718.71</v>
      </c>
      <c r="E28" s="285">
        <v>12</v>
      </c>
      <c r="F28" s="275">
        <v>34953.56</v>
      </c>
      <c r="G28" s="122">
        <f t="shared" si="6"/>
        <v>-58.620689655172413</v>
      </c>
      <c r="H28" s="169">
        <f t="shared" si="6"/>
        <v>-93.547655018228923</v>
      </c>
      <c r="I28" s="228"/>
      <c r="J28" s="244"/>
      <c r="K28" s="244"/>
      <c r="L28" s="241"/>
      <c r="M28" s="241"/>
      <c r="N28" s="244"/>
      <c r="O28" s="228"/>
      <c r="P28" s="244"/>
      <c r="Q28" s="244"/>
      <c r="R28" s="241"/>
      <c r="S28" s="44"/>
      <c r="T28" s="44"/>
    </row>
    <row r="29" spans="1:20" ht="15">
      <c r="A29" s="14">
        <v>25</v>
      </c>
      <c r="B29" s="9" t="s">
        <v>26</v>
      </c>
      <c r="C29" s="213">
        <v>1</v>
      </c>
      <c r="D29" s="268">
        <v>15691.1</v>
      </c>
      <c r="E29" s="266">
        <v>0</v>
      </c>
      <c r="F29" s="275">
        <v>0</v>
      </c>
      <c r="G29" s="122">
        <f t="shared" si="6"/>
        <v>-100</v>
      </c>
      <c r="H29" s="169">
        <f t="shared" si="6"/>
        <v>-100</v>
      </c>
      <c r="I29" s="228"/>
      <c r="J29" s="244"/>
      <c r="K29" s="244"/>
      <c r="L29" s="241"/>
      <c r="M29" s="241"/>
      <c r="N29" s="244"/>
      <c r="O29" s="228"/>
      <c r="P29" s="244"/>
      <c r="Q29" s="244"/>
      <c r="R29" s="241"/>
      <c r="S29" s="44"/>
      <c r="T29" s="44"/>
    </row>
    <row r="30" spans="1:20" ht="15">
      <c r="A30" s="14">
        <v>26</v>
      </c>
      <c r="B30" s="9" t="s">
        <v>27</v>
      </c>
      <c r="C30" s="213">
        <v>7</v>
      </c>
      <c r="D30" s="268">
        <v>3857</v>
      </c>
      <c r="E30" s="285">
        <v>8</v>
      </c>
      <c r="F30" s="275">
        <v>128890.91</v>
      </c>
      <c r="G30" s="122">
        <f t="shared" si="4"/>
        <v>14.285714285714278</v>
      </c>
      <c r="H30" s="123">
        <f t="shared" si="5"/>
        <v>3241.7399533316052</v>
      </c>
      <c r="I30" s="228"/>
      <c r="J30" s="244"/>
      <c r="K30" s="244"/>
      <c r="L30" s="241"/>
      <c r="M30" s="241"/>
      <c r="N30" s="244"/>
      <c r="O30" s="228"/>
      <c r="P30" s="244"/>
      <c r="Q30" s="244"/>
      <c r="R30" s="241"/>
      <c r="S30" s="44"/>
      <c r="T30" s="44"/>
    </row>
    <row r="31" spans="1:20" ht="15">
      <c r="A31" s="14">
        <v>27</v>
      </c>
      <c r="B31" s="9" t="s">
        <v>28</v>
      </c>
      <c r="C31" s="213">
        <v>2</v>
      </c>
      <c r="D31" s="268">
        <v>2055</v>
      </c>
      <c r="E31" s="285">
        <v>3</v>
      </c>
      <c r="F31" s="275">
        <v>38120.83</v>
      </c>
      <c r="G31" s="122">
        <f t="shared" si="4"/>
        <v>50</v>
      </c>
      <c r="H31" s="123">
        <f t="shared" si="5"/>
        <v>1755.0282238442821</v>
      </c>
      <c r="I31" s="228"/>
      <c r="J31" s="244"/>
      <c r="K31" s="244"/>
      <c r="L31" s="241"/>
      <c r="M31" s="241"/>
      <c r="N31" s="244"/>
      <c r="O31" s="228"/>
      <c r="P31" s="244"/>
      <c r="Q31" s="244"/>
      <c r="R31" s="241"/>
      <c r="S31" s="237"/>
      <c r="T31" s="44"/>
    </row>
    <row r="32" spans="1:20" ht="15">
      <c r="A32" s="14">
        <v>28</v>
      </c>
      <c r="B32" s="9" t="s">
        <v>29</v>
      </c>
      <c r="C32" s="213">
        <v>8</v>
      </c>
      <c r="D32" s="268">
        <v>53169.729999999996</v>
      </c>
      <c r="E32" s="285">
        <v>3</v>
      </c>
      <c r="F32" s="275">
        <v>4264.99</v>
      </c>
      <c r="G32" s="122">
        <f t="shared" si="4"/>
        <v>-62.5</v>
      </c>
      <c r="H32" s="123">
        <f t="shared" si="5"/>
        <v>-91.978537412170425</v>
      </c>
      <c r="I32" s="228"/>
      <c r="J32" s="244"/>
      <c r="K32" s="244"/>
      <c r="L32" s="241"/>
      <c r="M32" s="241"/>
      <c r="N32" s="244"/>
      <c r="O32" s="228"/>
      <c r="P32" s="244"/>
      <c r="Q32" s="244"/>
      <c r="R32" s="241"/>
      <c r="S32" s="46"/>
      <c r="T32" s="44"/>
    </row>
    <row r="33" spans="1:20" ht="15">
      <c r="A33" s="14">
        <v>29</v>
      </c>
      <c r="B33" s="9" t="s">
        <v>30</v>
      </c>
      <c r="C33" s="213">
        <v>12</v>
      </c>
      <c r="D33" s="268">
        <v>237076.77</v>
      </c>
      <c r="E33" s="285">
        <v>14</v>
      </c>
      <c r="F33" s="275">
        <v>63218.479999999996</v>
      </c>
      <c r="G33" s="122">
        <f t="shared" si="4"/>
        <v>16.666666666666671</v>
      </c>
      <c r="H33" s="123">
        <f t="shared" si="5"/>
        <v>-73.334173567490396</v>
      </c>
      <c r="I33" s="228"/>
      <c r="J33" s="244"/>
      <c r="K33" s="244"/>
      <c r="L33" s="241"/>
      <c r="M33" s="241"/>
      <c r="N33" s="244"/>
      <c r="O33" s="228"/>
      <c r="P33" s="244"/>
      <c r="Q33" s="244"/>
      <c r="R33" s="241"/>
      <c r="S33" s="44"/>
      <c r="T33" s="44"/>
    </row>
    <row r="34" spans="1:20" ht="15.75">
      <c r="A34" s="34"/>
      <c r="B34" s="31" t="s">
        <v>31</v>
      </c>
      <c r="C34" s="254">
        <f>SUM(C23:C33)</f>
        <v>554</v>
      </c>
      <c r="D34" s="269">
        <f>SUM(D23:D33)</f>
        <v>15668384.99</v>
      </c>
      <c r="E34" s="283">
        <f>SUM(E23:E33)</f>
        <v>497</v>
      </c>
      <c r="F34" s="270">
        <f>SUM(F23:F33)</f>
        <v>14161221.970000001</v>
      </c>
      <c r="G34" s="124">
        <f>E34/C34*100-100</f>
        <v>-10.288808664259932</v>
      </c>
      <c r="H34" s="125">
        <f>F34/D34*100-100</f>
        <v>-9.6191344606474303</v>
      </c>
      <c r="I34" s="228"/>
      <c r="J34" s="244"/>
      <c r="K34" s="244"/>
      <c r="L34" s="241"/>
      <c r="M34" s="241"/>
      <c r="N34" s="244"/>
      <c r="O34" s="228"/>
      <c r="P34" s="244"/>
      <c r="Q34" s="244"/>
      <c r="R34" s="241"/>
      <c r="S34" s="243"/>
      <c r="T34" s="44"/>
    </row>
    <row r="35" spans="1:20" ht="15" customHeight="1">
      <c r="A35" s="14">
        <v>30</v>
      </c>
      <c r="B35" s="9" t="s">
        <v>32</v>
      </c>
      <c r="C35" s="213">
        <v>6</v>
      </c>
      <c r="D35" s="140">
        <v>61060.87</v>
      </c>
      <c r="E35" s="266">
        <v>7</v>
      </c>
      <c r="F35" s="140">
        <v>49605.259999999995</v>
      </c>
      <c r="G35" s="122">
        <f>E35/C35*100-100</f>
        <v>16.666666666666671</v>
      </c>
      <c r="H35" s="123">
        <f>F35/D35*100-100</f>
        <v>-18.760967539440571</v>
      </c>
      <c r="I35" s="227"/>
      <c r="J35" s="232"/>
      <c r="K35" s="233"/>
      <c r="L35" s="234"/>
      <c r="M35" s="233"/>
      <c r="N35" s="233"/>
      <c r="O35" s="233"/>
      <c r="P35" s="233"/>
      <c r="Q35" s="249"/>
      <c r="R35" s="231"/>
      <c r="S35" s="44"/>
      <c r="T35" s="44"/>
    </row>
    <row r="36" spans="1:20" ht="15" customHeight="1">
      <c r="A36" s="14">
        <v>31</v>
      </c>
      <c r="B36" s="9" t="s">
        <v>33</v>
      </c>
      <c r="C36" s="213">
        <v>47</v>
      </c>
      <c r="D36" s="140">
        <v>87160</v>
      </c>
      <c r="E36" s="266">
        <v>74</v>
      </c>
      <c r="F36" s="140">
        <v>286240</v>
      </c>
      <c r="G36" s="122">
        <f t="shared" ref="G36:G42" si="7">E36/C36*100-100</f>
        <v>57.446808510638306</v>
      </c>
      <c r="H36" s="123">
        <f t="shared" ref="H36:H42" si="8">F36/D36*100-100</f>
        <v>228.40752638825148</v>
      </c>
      <c r="I36" s="227"/>
      <c r="J36" s="232"/>
      <c r="K36" s="233"/>
      <c r="L36" s="234"/>
      <c r="M36" s="233"/>
      <c r="N36" s="233"/>
      <c r="O36" s="233"/>
      <c r="P36" s="233"/>
      <c r="Q36" s="249"/>
      <c r="R36" s="231"/>
      <c r="S36" s="44"/>
      <c r="T36" s="44"/>
    </row>
    <row r="37" spans="1:20" ht="15" customHeight="1">
      <c r="A37" s="14">
        <v>32</v>
      </c>
      <c r="B37" s="10" t="s">
        <v>34</v>
      </c>
      <c r="C37" s="213">
        <v>192</v>
      </c>
      <c r="D37" s="219">
        <v>1612068.77</v>
      </c>
      <c r="E37" s="266">
        <v>188</v>
      </c>
      <c r="F37" s="140">
        <v>1221707.23</v>
      </c>
      <c r="G37" s="122">
        <f t="shared" si="7"/>
        <v>-2.0833333333333428</v>
      </c>
      <c r="H37" s="123">
        <f t="shared" si="8"/>
        <v>-24.214943386069081</v>
      </c>
      <c r="I37" s="227"/>
      <c r="J37" s="232"/>
      <c r="K37" s="233"/>
      <c r="L37" s="234"/>
      <c r="M37" s="233"/>
      <c r="N37" s="233"/>
      <c r="O37" s="233"/>
      <c r="P37" s="233"/>
      <c r="Q37" s="249"/>
      <c r="R37" s="231"/>
      <c r="S37" s="44"/>
      <c r="T37" s="44"/>
    </row>
    <row r="38" spans="1:20" ht="15" customHeight="1">
      <c r="A38" s="14">
        <v>33</v>
      </c>
      <c r="B38" s="10" t="s">
        <v>35</v>
      </c>
      <c r="C38" s="213">
        <v>5</v>
      </c>
      <c r="D38" s="140">
        <v>23609.34</v>
      </c>
      <c r="E38" s="266">
        <v>5</v>
      </c>
      <c r="F38" s="140">
        <v>13776.230000000001</v>
      </c>
      <c r="G38" s="122">
        <f t="shared" si="7"/>
        <v>0</v>
      </c>
      <c r="H38" s="123">
        <f t="shared" si="8"/>
        <v>-41.649237123951785</v>
      </c>
      <c r="I38" s="227"/>
      <c r="J38" s="232"/>
      <c r="K38" s="233"/>
      <c r="L38" s="234"/>
      <c r="M38" s="233"/>
      <c r="N38" s="233"/>
      <c r="O38" s="233"/>
      <c r="P38" s="233"/>
      <c r="Q38" s="249"/>
      <c r="R38" s="231"/>
      <c r="S38" s="44"/>
      <c r="T38" s="44"/>
    </row>
    <row r="39" spans="1:20" s="42" customFormat="1" ht="15" customHeight="1">
      <c r="A39" s="40">
        <v>34</v>
      </c>
      <c r="B39" s="43" t="s">
        <v>36</v>
      </c>
      <c r="C39" s="213">
        <v>1</v>
      </c>
      <c r="D39" s="140">
        <v>742.12</v>
      </c>
      <c r="E39" s="266">
        <v>1</v>
      </c>
      <c r="F39" s="140">
        <v>5025.8500000000004</v>
      </c>
      <c r="G39" s="122">
        <f t="shared" si="7"/>
        <v>0</v>
      </c>
      <c r="H39" s="123">
        <f t="shared" si="8"/>
        <v>577.22875006737456</v>
      </c>
      <c r="I39" s="227"/>
      <c r="J39" s="232"/>
      <c r="K39" s="233"/>
      <c r="L39" s="234"/>
      <c r="M39" s="233"/>
      <c r="N39" s="233"/>
      <c r="O39" s="233"/>
      <c r="P39" s="233"/>
      <c r="Q39" s="249"/>
      <c r="R39" s="245"/>
      <c r="S39" s="246"/>
      <c r="T39" s="246"/>
    </row>
    <row r="40" spans="1:20" ht="15" customHeight="1">
      <c r="A40" s="14">
        <v>35</v>
      </c>
      <c r="B40" s="10" t="s">
        <v>37</v>
      </c>
      <c r="C40" s="213">
        <v>81</v>
      </c>
      <c r="D40" s="140">
        <v>688566.66999999993</v>
      </c>
      <c r="E40" s="266">
        <v>28</v>
      </c>
      <c r="F40" s="140">
        <v>75433.27</v>
      </c>
      <c r="G40" s="122">
        <f t="shared" si="7"/>
        <v>-65.432098765432102</v>
      </c>
      <c r="H40" s="123">
        <f t="shared" si="8"/>
        <v>-89.044885079900837</v>
      </c>
      <c r="I40" s="227"/>
      <c r="J40" s="232"/>
      <c r="K40" s="233"/>
      <c r="L40" s="234"/>
      <c r="M40" s="233"/>
      <c r="N40" s="233"/>
      <c r="O40" s="233"/>
      <c r="P40" s="233"/>
      <c r="Q40" s="249"/>
      <c r="R40" s="231"/>
      <c r="S40" s="44"/>
      <c r="T40" s="44"/>
    </row>
    <row r="41" spans="1:20" ht="15" customHeight="1">
      <c r="A41" s="36">
        <v>36</v>
      </c>
      <c r="B41" s="37" t="s">
        <v>102</v>
      </c>
      <c r="C41" s="213">
        <v>19</v>
      </c>
      <c r="D41" s="140">
        <v>93573.97</v>
      </c>
      <c r="E41" s="266">
        <v>24</v>
      </c>
      <c r="F41" s="140">
        <v>415219.35</v>
      </c>
      <c r="G41" s="122">
        <f t="shared" si="7"/>
        <v>26.315789473684205</v>
      </c>
      <c r="H41" s="123">
        <f t="shared" si="8"/>
        <v>343.73381828301177</v>
      </c>
      <c r="I41" s="227"/>
      <c r="J41" s="232"/>
      <c r="K41" s="233"/>
      <c r="L41" s="234"/>
      <c r="M41" s="233"/>
      <c r="N41" s="233"/>
      <c r="O41" s="233"/>
      <c r="P41" s="233"/>
      <c r="Q41" s="249"/>
      <c r="R41" s="231"/>
      <c r="S41" s="44"/>
      <c r="T41" s="44"/>
    </row>
    <row r="42" spans="1:20" ht="15" customHeight="1">
      <c r="A42" s="36">
        <v>37</v>
      </c>
      <c r="B42" s="37" t="s">
        <v>103</v>
      </c>
      <c r="C42" s="213">
        <v>3</v>
      </c>
      <c r="D42" s="140">
        <v>37262.230000000003</v>
      </c>
      <c r="E42" s="266">
        <v>1</v>
      </c>
      <c r="F42" s="140">
        <v>4324.2</v>
      </c>
      <c r="G42" s="122">
        <f t="shared" si="7"/>
        <v>-66.666666666666671</v>
      </c>
      <c r="H42" s="123">
        <f t="shared" si="8"/>
        <v>-88.395219502429143</v>
      </c>
      <c r="I42" s="227"/>
      <c r="J42" s="232"/>
      <c r="K42" s="233"/>
      <c r="L42" s="234"/>
      <c r="M42" s="233"/>
      <c r="N42" s="233"/>
      <c r="O42" s="233"/>
      <c r="P42" s="233"/>
      <c r="Q42" s="249"/>
      <c r="R42" s="231"/>
      <c r="S42" s="44"/>
      <c r="T42" s="44"/>
    </row>
    <row r="43" spans="1:20" ht="15" customHeight="1">
      <c r="A43" s="36">
        <v>38</v>
      </c>
      <c r="B43" s="17" t="s">
        <v>155</v>
      </c>
      <c r="C43" s="213">
        <v>0</v>
      </c>
      <c r="D43" s="140">
        <v>0</v>
      </c>
      <c r="E43" s="268">
        <v>62</v>
      </c>
      <c r="F43" s="140">
        <v>341149.6</v>
      </c>
      <c r="G43" s="294">
        <v>0</v>
      </c>
      <c r="H43" s="265">
        <v>0</v>
      </c>
      <c r="I43" s="227"/>
      <c r="J43" s="232"/>
      <c r="K43" s="233"/>
      <c r="L43" s="234"/>
      <c r="M43" s="233"/>
      <c r="N43" s="233"/>
      <c r="O43" s="233"/>
      <c r="P43" s="233"/>
      <c r="Q43" s="250"/>
      <c r="R43" s="231"/>
      <c r="S43" s="44"/>
      <c r="T43" s="44"/>
    </row>
    <row r="44" spans="1:20" ht="15" customHeight="1">
      <c r="A44" s="36">
        <v>39</v>
      </c>
      <c r="B44" s="17" t="s">
        <v>157</v>
      </c>
      <c r="C44" s="213">
        <v>0</v>
      </c>
      <c r="D44" s="140">
        <v>0</v>
      </c>
      <c r="E44" s="268">
        <v>0</v>
      </c>
      <c r="F44" s="140">
        <v>0</v>
      </c>
      <c r="G44" s="294">
        <v>0</v>
      </c>
      <c r="H44" s="265">
        <v>0</v>
      </c>
      <c r="I44" s="227"/>
      <c r="J44" s="232"/>
      <c r="K44" s="233"/>
      <c r="L44" s="234"/>
      <c r="M44" s="233"/>
      <c r="N44" s="233"/>
      <c r="O44" s="233"/>
      <c r="P44" s="233"/>
      <c r="Q44" s="250"/>
      <c r="R44" s="231"/>
      <c r="S44" s="44"/>
      <c r="T44" s="44"/>
    </row>
    <row r="45" spans="1:20" ht="15" customHeight="1">
      <c r="A45" s="36">
        <v>40</v>
      </c>
      <c r="B45" s="17" t="s">
        <v>156</v>
      </c>
      <c r="C45" s="213">
        <v>0</v>
      </c>
      <c r="D45" s="140">
        <v>0</v>
      </c>
      <c r="E45" s="268">
        <v>11</v>
      </c>
      <c r="F45" s="230">
        <v>104392.7</v>
      </c>
      <c r="G45" s="294">
        <v>0</v>
      </c>
      <c r="H45" s="265">
        <v>0</v>
      </c>
      <c r="I45" s="226"/>
      <c r="J45" s="231"/>
      <c r="K45" s="231"/>
      <c r="L45" s="231"/>
      <c r="M45" s="231"/>
      <c r="N45" s="231"/>
      <c r="O45" s="231"/>
      <c r="P45" s="231"/>
      <c r="Q45" s="251"/>
      <c r="R45" s="231"/>
      <c r="S45" s="44"/>
      <c r="T45" s="44"/>
    </row>
    <row r="46" spans="1:20" ht="15" customHeight="1">
      <c r="A46" s="36">
        <v>41</v>
      </c>
      <c r="B46" s="17" t="s">
        <v>158</v>
      </c>
      <c r="C46" s="213">
        <v>0</v>
      </c>
      <c r="D46" s="140">
        <v>0</v>
      </c>
      <c r="E46" s="268">
        <v>1</v>
      </c>
      <c r="F46" s="229">
        <v>1302.5999999999999</v>
      </c>
      <c r="G46" s="294">
        <v>0</v>
      </c>
      <c r="H46" s="265">
        <v>0</v>
      </c>
      <c r="I46" s="222"/>
      <c r="J46" s="44"/>
      <c r="K46" s="44"/>
      <c r="L46" s="44"/>
      <c r="M46" s="44"/>
      <c r="N46" s="44"/>
      <c r="O46" s="44"/>
      <c r="P46" s="44"/>
      <c r="Q46" s="252"/>
      <c r="R46" s="44"/>
      <c r="S46" s="44"/>
      <c r="T46" s="44"/>
    </row>
    <row r="47" spans="1:20" ht="15" customHeight="1">
      <c r="A47" s="34"/>
      <c r="B47" s="31" t="s">
        <v>38</v>
      </c>
      <c r="C47" s="254">
        <f>SUM(C35:C46)</f>
        <v>354</v>
      </c>
      <c r="D47" s="179">
        <f>SUM(D35:D46)</f>
        <v>2604043.9700000007</v>
      </c>
      <c r="E47" s="271">
        <f>SUM(E35:E46)</f>
        <v>402</v>
      </c>
      <c r="F47" s="179">
        <f>SUM(F35:F46)</f>
        <v>2518176.29</v>
      </c>
      <c r="G47" s="124">
        <f t="shared" ref="G47:H49" si="9">E47/C47*100-100</f>
        <v>13.559322033898312</v>
      </c>
      <c r="H47" s="125">
        <f t="shared" si="9"/>
        <v>-3.2974742742151335</v>
      </c>
      <c r="I47" s="222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</row>
    <row r="48" spans="1:20" ht="15">
      <c r="A48" s="14">
        <v>42</v>
      </c>
      <c r="B48" s="10" t="s">
        <v>39</v>
      </c>
      <c r="C48" s="213">
        <v>2</v>
      </c>
      <c r="D48" s="140">
        <v>17064.199999999997</v>
      </c>
      <c r="E48" s="282">
        <v>3</v>
      </c>
      <c r="F48" s="229">
        <v>17083.740000000002</v>
      </c>
      <c r="G48" s="122">
        <f t="shared" si="9"/>
        <v>50</v>
      </c>
      <c r="H48" s="123">
        <f t="shared" si="9"/>
        <v>0.11450873759099522</v>
      </c>
      <c r="I48" s="228"/>
      <c r="J48" s="244"/>
      <c r="K48" s="244"/>
      <c r="L48" s="241"/>
      <c r="M48" s="241"/>
      <c r="N48" s="244"/>
      <c r="O48" s="228"/>
      <c r="P48" s="244"/>
      <c r="Q48" s="244"/>
      <c r="R48" s="241"/>
      <c r="S48" s="44"/>
      <c r="T48" s="44"/>
    </row>
    <row r="49" spans="1:20" ht="15">
      <c r="A49" s="14">
        <v>43</v>
      </c>
      <c r="B49" s="10" t="s">
        <v>40</v>
      </c>
      <c r="C49" s="213">
        <v>5</v>
      </c>
      <c r="D49" s="140">
        <v>18294.77</v>
      </c>
      <c r="E49" s="282">
        <v>2</v>
      </c>
      <c r="F49" s="229">
        <v>1232.1600000000001</v>
      </c>
      <c r="G49" s="122">
        <f t="shared" si="9"/>
        <v>-60</v>
      </c>
      <c r="H49" s="123">
        <f t="shared" si="9"/>
        <v>-93.264960423115454</v>
      </c>
      <c r="I49" s="228"/>
      <c r="J49" s="244"/>
      <c r="K49" s="244"/>
      <c r="L49" s="241"/>
      <c r="M49" s="241"/>
      <c r="N49" s="244"/>
      <c r="O49" s="228"/>
      <c r="P49" s="244"/>
      <c r="Q49" s="244"/>
      <c r="R49" s="241"/>
      <c r="S49" s="44"/>
      <c r="T49" s="44"/>
    </row>
    <row r="50" spans="1:20" ht="15">
      <c r="A50" s="14">
        <v>44</v>
      </c>
      <c r="B50" s="9" t="s">
        <v>41</v>
      </c>
      <c r="C50" s="213">
        <v>18</v>
      </c>
      <c r="D50" s="140">
        <v>89856.53</v>
      </c>
      <c r="E50" s="282">
        <v>17</v>
      </c>
      <c r="F50" s="229">
        <v>37120.47</v>
      </c>
      <c r="G50" s="122">
        <f t="shared" ref="G50:H53" si="10">E50/C50*100-100</f>
        <v>-5.5555555555555571</v>
      </c>
      <c r="H50" s="123">
        <f t="shared" si="10"/>
        <v>-58.689179295038436</v>
      </c>
      <c r="I50" s="228"/>
      <c r="J50" s="244"/>
      <c r="K50" s="244"/>
      <c r="L50" s="241"/>
      <c r="M50" s="241"/>
      <c r="N50" s="244"/>
      <c r="O50" s="228"/>
      <c r="P50" s="244"/>
      <c r="Q50" s="244"/>
      <c r="R50" s="241"/>
      <c r="S50" s="44"/>
      <c r="T50" s="44"/>
    </row>
    <row r="51" spans="1:20" ht="15">
      <c r="A51" s="14">
        <v>45</v>
      </c>
      <c r="B51" s="9" t="s">
        <v>42</v>
      </c>
      <c r="C51" s="213">
        <v>5</v>
      </c>
      <c r="D51" s="140">
        <v>31543.17</v>
      </c>
      <c r="E51" s="282">
        <v>5</v>
      </c>
      <c r="F51" s="229">
        <v>37376.11</v>
      </c>
      <c r="G51" s="122">
        <f t="shared" si="10"/>
        <v>0</v>
      </c>
      <c r="H51" s="123">
        <f t="shared" si="10"/>
        <v>18.491927095469492</v>
      </c>
      <c r="I51" s="228"/>
      <c r="J51" s="244"/>
      <c r="K51" s="244"/>
      <c r="L51" s="241"/>
      <c r="M51" s="241"/>
      <c r="N51" s="244"/>
      <c r="O51" s="228"/>
      <c r="P51" s="244"/>
      <c r="Q51" s="244"/>
      <c r="R51" s="241"/>
      <c r="S51" s="44"/>
      <c r="T51" s="44"/>
    </row>
    <row r="52" spans="1:20" ht="15">
      <c r="A52" s="14">
        <v>46</v>
      </c>
      <c r="B52" s="29" t="s">
        <v>43</v>
      </c>
      <c r="C52" s="213">
        <v>7</v>
      </c>
      <c r="D52" s="140">
        <v>76681.989999999991</v>
      </c>
      <c r="E52" s="282">
        <v>3</v>
      </c>
      <c r="F52" s="229">
        <v>69516.929999999993</v>
      </c>
      <c r="G52" s="122">
        <f t="shared" si="10"/>
        <v>-57.142857142857146</v>
      </c>
      <c r="H52" s="123">
        <f t="shared" si="10"/>
        <v>-9.3438628809711304</v>
      </c>
      <c r="I52" s="228"/>
      <c r="J52" s="244"/>
      <c r="K52" s="244"/>
      <c r="L52" s="241"/>
      <c r="M52" s="241"/>
      <c r="N52" s="244"/>
      <c r="O52" s="228"/>
      <c r="P52" s="244"/>
      <c r="Q52" s="244"/>
      <c r="R52" s="241"/>
      <c r="S52" s="44"/>
      <c r="T52" s="44"/>
    </row>
    <row r="53" spans="1:20" ht="15">
      <c r="A53" s="14">
        <v>47</v>
      </c>
      <c r="B53" s="9" t="s">
        <v>44</v>
      </c>
      <c r="C53" s="213">
        <v>58</v>
      </c>
      <c r="D53" s="140">
        <v>346299.1</v>
      </c>
      <c r="E53" s="282">
        <v>52</v>
      </c>
      <c r="F53" s="229">
        <v>868462.2</v>
      </c>
      <c r="G53" s="122">
        <f t="shared" si="10"/>
        <v>-10.34482758620689</v>
      </c>
      <c r="H53" s="123">
        <f t="shared" si="10"/>
        <v>150.78384552544318</v>
      </c>
      <c r="I53" s="228"/>
      <c r="J53" s="244"/>
      <c r="K53" s="244"/>
      <c r="L53" s="241"/>
      <c r="M53" s="241"/>
      <c r="N53" s="244"/>
      <c r="O53" s="228"/>
      <c r="P53" s="244"/>
      <c r="Q53" s="244"/>
      <c r="R53" s="241"/>
      <c r="S53" s="44"/>
      <c r="T53" s="44"/>
    </row>
    <row r="54" spans="1:20" ht="15">
      <c r="A54" s="14">
        <v>48</v>
      </c>
      <c r="B54" s="9" t="s">
        <v>45</v>
      </c>
      <c r="C54" s="213">
        <v>59</v>
      </c>
      <c r="D54" s="140">
        <v>304493.39</v>
      </c>
      <c r="E54" s="282">
        <v>74</v>
      </c>
      <c r="F54" s="229">
        <v>640938.57000000007</v>
      </c>
      <c r="G54" s="122">
        <f t="shared" ref="G54:H69" si="11">E54/C54*100-100</f>
        <v>25.423728813559322</v>
      </c>
      <c r="H54" s="123">
        <f t="shared" si="11"/>
        <v>110.49342647470937</v>
      </c>
      <c r="I54" s="228"/>
      <c r="J54" s="244"/>
      <c r="K54" s="244"/>
      <c r="L54" s="241"/>
      <c r="M54" s="241"/>
      <c r="N54" s="244"/>
      <c r="O54" s="228"/>
      <c r="P54" s="244"/>
      <c r="Q54" s="244"/>
      <c r="R54" s="241"/>
      <c r="S54" s="44"/>
      <c r="T54" s="44"/>
    </row>
    <row r="55" spans="1:20" ht="15.75">
      <c r="A55" s="34"/>
      <c r="B55" s="31" t="s">
        <v>46</v>
      </c>
      <c r="C55" s="254">
        <f>SUM(C48:C54)</f>
        <v>154</v>
      </c>
      <c r="D55" s="179">
        <f>SUM(D48:D54)</f>
        <v>884233.15</v>
      </c>
      <c r="E55" s="284">
        <f>SUM(E48:E54)</f>
        <v>156</v>
      </c>
      <c r="F55" s="179">
        <f>SUM(F48:F54)</f>
        <v>1671730.1800000002</v>
      </c>
      <c r="G55" s="124">
        <f t="shared" si="11"/>
        <v>1.2987012987012889</v>
      </c>
      <c r="H55" s="125">
        <f t="shared" si="11"/>
        <v>89.059885393349049</v>
      </c>
      <c r="I55" s="228"/>
      <c r="J55" s="244"/>
      <c r="K55" s="244"/>
      <c r="L55" s="241"/>
      <c r="M55" s="241"/>
      <c r="N55" s="244"/>
      <c r="O55" s="228"/>
      <c r="P55" s="244"/>
      <c r="Q55" s="244"/>
      <c r="R55" s="241"/>
      <c r="S55" s="44"/>
      <c r="T55" s="44"/>
    </row>
    <row r="56" spans="1:20" ht="15">
      <c r="A56" s="14">
        <v>49</v>
      </c>
      <c r="B56" s="9" t="s">
        <v>47</v>
      </c>
      <c r="C56" s="52">
        <v>18</v>
      </c>
      <c r="D56" s="140">
        <v>383065.76000000007</v>
      </c>
      <c r="E56" s="286">
        <v>6</v>
      </c>
      <c r="F56" s="229">
        <v>33863.550000000003</v>
      </c>
      <c r="G56" s="122">
        <f t="shared" si="11"/>
        <v>-66.666666666666671</v>
      </c>
      <c r="H56" s="123">
        <f t="shared" si="11"/>
        <v>-91.159859863225577</v>
      </c>
      <c r="I56" s="222"/>
      <c r="J56" s="44"/>
      <c r="K56" s="44"/>
      <c r="L56" s="44"/>
      <c r="M56" s="44"/>
      <c r="N56" s="44"/>
      <c r="O56" s="44"/>
      <c r="P56" s="44"/>
      <c r="Q56" s="44"/>
      <c r="R56" s="44"/>
      <c r="S56" s="237"/>
      <c r="T56" s="44"/>
    </row>
    <row r="57" spans="1:20" ht="15">
      <c r="A57" s="14">
        <v>50</v>
      </c>
      <c r="B57" s="11" t="s">
        <v>48</v>
      </c>
      <c r="C57" s="52">
        <v>105</v>
      </c>
      <c r="D57" s="140">
        <v>766824.25</v>
      </c>
      <c r="E57" s="286">
        <v>78</v>
      </c>
      <c r="F57" s="229">
        <v>487844.59</v>
      </c>
      <c r="G57" s="122">
        <f t="shared" si="11"/>
        <v>-25.714285714285708</v>
      </c>
      <c r="H57" s="123">
        <f t="shared" si="11"/>
        <v>-36.381173391425733</v>
      </c>
      <c r="I57" s="222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</row>
    <row r="58" spans="1:20" ht="15">
      <c r="A58" s="14">
        <v>51</v>
      </c>
      <c r="B58" s="9" t="s">
        <v>49</v>
      </c>
      <c r="C58" s="52">
        <v>15</v>
      </c>
      <c r="D58" s="140">
        <v>44453.69</v>
      </c>
      <c r="E58" s="286">
        <v>28</v>
      </c>
      <c r="F58" s="229">
        <v>499202.03</v>
      </c>
      <c r="G58" s="122">
        <f t="shared" si="11"/>
        <v>86.666666666666657</v>
      </c>
      <c r="H58" s="123">
        <f t="shared" si="11"/>
        <v>1022.9709614657411</v>
      </c>
      <c r="I58" s="222"/>
      <c r="J58" s="44"/>
      <c r="K58" s="44"/>
      <c r="L58" s="44"/>
      <c r="M58" s="44"/>
      <c r="N58" s="44"/>
      <c r="O58" s="44"/>
      <c r="P58" s="44"/>
      <c r="Q58" s="44"/>
      <c r="R58" s="44"/>
      <c r="S58" s="237"/>
      <c r="T58" s="44"/>
    </row>
    <row r="59" spans="1:20" s="42" customFormat="1" ht="15">
      <c r="A59" s="14">
        <v>52</v>
      </c>
      <c r="B59" s="41" t="s">
        <v>50</v>
      </c>
      <c r="C59" s="265">
        <v>0</v>
      </c>
      <c r="D59" s="140">
        <v>0</v>
      </c>
      <c r="E59" s="265">
        <v>0</v>
      </c>
      <c r="F59" s="265">
        <v>0</v>
      </c>
      <c r="G59" s="265">
        <v>0</v>
      </c>
      <c r="H59" s="265">
        <v>0</v>
      </c>
      <c r="I59" s="222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</row>
    <row r="60" spans="1:20" ht="15">
      <c r="A60" s="14">
        <v>53</v>
      </c>
      <c r="B60" s="9" t="s">
        <v>51</v>
      </c>
      <c r="C60" s="52">
        <v>16</v>
      </c>
      <c r="D60" s="140">
        <v>366845.43999999994</v>
      </c>
      <c r="E60" s="286">
        <v>17</v>
      </c>
      <c r="F60" s="229">
        <v>72094.239999999991</v>
      </c>
      <c r="G60" s="122">
        <f t="shared" si="11"/>
        <v>6.25</v>
      </c>
      <c r="H60" s="123">
        <f t="shared" si="11"/>
        <v>-80.347516381830999</v>
      </c>
      <c r="I60" s="222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</row>
    <row r="61" spans="1:20" ht="15">
      <c r="A61" s="14">
        <v>54</v>
      </c>
      <c r="B61" s="9" t="s">
        <v>52</v>
      </c>
      <c r="C61" s="52">
        <v>22</v>
      </c>
      <c r="D61" s="140">
        <v>208015.86</v>
      </c>
      <c r="E61" s="287">
        <v>18</v>
      </c>
      <c r="F61" s="229">
        <v>298828.10000000003</v>
      </c>
      <c r="G61" s="122">
        <f t="shared" si="11"/>
        <v>-18.181818181818173</v>
      </c>
      <c r="H61" s="123">
        <f t="shared" si="11"/>
        <v>43.656401968580695</v>
      </c>
      <c r="I61" s="222"/>
      <c r="J61" s="44"/>
      <c r="K61" s="44"/>
      <c r="L61" s="44"/>
      <c r="M61" s="44"/>
      <c r="N61" s="44"/>
      <c r="O61" s="44"/>
      <c r="P61" s="44"/>
      <c r="Q61" s="44"/>
      <c r="R61" s="44"/>
      <c r="S61" s="237"/>
      <c r="T61" s="44"/>
    </row>
    <row r="62" spans="1:20" ht="15">
      <c r="A62" s="14">
        <v>55</v>
      </c>
      <c r="B62" s="9" t="s">
        <v>53</v>
      </c>
      <c r="C62" s="52">
        <v>13</v>
      </c>
      <c r="D62" s="140">
        <v>64740.909999999996</v>
      </c>
      <c r="E62" s="286">
        <v>5</v>
      </c>
      <c r="F62" s="229">
        <v>81127.19</v>
      </c>
      <c r="G62" s="122">
        <f t="shared" si="11"/>
        <v>-61.538461538461533</v>
      </c>
      <c r="H62" s="123">
        <f t="shared" si="11"/>
        <v>25.310549388323395</v>
      </c>
      <c r="I62" s="222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3" spans="1:20" ht="15">
      <c r="A63" s="14">
        <v>56</v>
      </c>
      <c r="B63" s="9" t="s">
        <v>54</v>
      </c>
      <c r="C63" s="52">
        <v>286</v>
      </c>
      <c r="D63" s="140">
        <v>2470908.65</v>
      </c>
      <c r="E63" s="286">
        <v>268</v>
      </c>
      <c r="F63" s="229">
        <v>7497533.1600000001</v>
      </c>
      <c r="G63" s="122">
        <f t="shared" si="11"/>
        <v>-6.2937062937062933</v>
      </c>
      <c r="H63" s="123">
        <f t="shared" si="11"/>
        <v>203.43222765438946</v>
      </c>
      <c r="I63" s="222"/>
      <c r="J63" s="44"/>
      <c r="K63" s="44"/>
      <c r="L63" s="44"/>
      <c r="M63" s="44"/>
      <c r="N63" s="44"/>
      <c r="O63" s="44"/>
      <c r="P63" s="44"/>
      <c r="Q63" s="44"/>
      <c r="R63" s="44"/>
      <c r="S63" s="237"/>
      <c r="T63" s="44"/>
    </row>
    <row r="64" spans="1:20" ht="15">
      <c r="A64" s="14">
        <v>57</v>
      </c>
      <c r="B64" s="9" t="s">
        <v>55</v>
      </c>
      <c r="C64" s="52">
        <v>95</v>
      </c>
      <c r="D64" s="140">
        <v>828043.77</v>
      </c>
      <c r="E64" s="286">
        <v>74</v>
      </c>
      <c r="F64" s="229">
        <v>486476.68000000005</v>
      </c>
      <c r="G64" s="122">
        <f t="shared" si="11"/>
        <v>-22.10526315789474</v>
      </c>
      <c r="H64" s="123">
        <f t="shared" si="11"/>
        <v>-41.249883445171022</v>
      </c>
      <c r="I64" s="222"/>
      <c r="J64" s="44"/>
      <c r="K64" s="44"/>
      <c r="L64" s="44"/>
      <c r="M64" s="44"/>
      <c r="N64" s="44"/>
      <c r="O64" s="44"/>
      <c r="P64" s="44"/>
      <c r="Q64" s="44"/>
      <c r="R64" s="44"/>
      <c r="S64" s="237"/>
      <c r="T64" s="44"/>
    </row>
    <row r="65" spans="1:20" ht="15">
      <c r="A65" s="14">
        <v>58</v>
      </c>
      <c r="B65" s="11" t="s">
        <v>56</v>
      </c>
      <c r="C65" s="52">
        <v>274</v>
      </c>
      <c r="D65" s="140">
        <v>5651594.8499999996</v>
      </c>
      <c r="E65" s="286">
        <v>299</v>
      </c>
      <c r="F65" s="229">
        <v>8482946.8299999982</v>
      </c>
      <c r="G65" s="122">
        <f t="shared" si="11"/>
        <v>9.1240875912408796</v>
      </c>
      <c r="H65" s="123">
        <f t="shared" si="11"/>
        <v>50.098282965205811</v>
      </c>
      <c r="I65" s="222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</row>
    <row r="66" spans="1:20" ht="15">
      <c r="A66" s="14">
        <v>59</v>
      </c>
      <c r="B66" s="9" t="s">
        <v>57</v>
      </c>
      <c r="C66" s="52">
        <v>207</v>
      </c>
      <c r="D66" s="140">
        <v>4149014.63</v>
      </c>
      <c r="E66" s="286">
        <v>125</v>
      </c>
      <c r="F66" s="229">
        <v>4260575.4000000004</v>
      </c>
      <c r="G66" s="122">
        <f t="shared" si="11"/>
        <v>-39.613526570048307</v>
      </c>
      <c r="H66" s="123">
        <f t="shared" si="11"/>
        <v>2.6888497619011815</v>
      </c>
      <c r="I66" s="222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</row>
    <row r="67" spans="1:20" ht="15">
      <c r="A67" s="14">
        <v>60</v>
      </c>
      <c r="B67" s="9" t="s">
        <v>58</v>
      </c>
      <c r="C67" s="261">
        <v>23</v>
      </c>
      <c r="D67" s="140">
        <v>544336.91</v>
      </c>
      <c r="E67" s="288">
        <v>34</v>
      </c>
      <c r="F67" s="229">
        <v>1009717.72</v>
      </c>
      <c r="G67" s="122">
        <f t="shared" si="11"/>
        <v>47.826086956521721</v>
      </c>
      <c r="H67" s="123">
        <f t="shared" si="11"/>
        <v>85.49499426742895</v>
      </c>
      <c r="I67" s="222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</row>
    <row r="68" spans="1:20" ht="15">
      <c r="A68" s="14">
        <v>61</v>
      </c>
      <c r="B68" s="9" t="s">
        <v>59</v>
      </c>
      <c r="C68" s="261">
        <v>92</v>
      </c>
      <c r="D68" s="140">
        <v>647106.35</v>
      </c>
      <c r="E68" s="289">
        <v>253</v>
      </c>
      <c r="F68" s="229">
        <v>2290283.7000000002</v>
      </c>
      <c r="G68" s="122">
        <f t="shared" si="11"/>
        <v>175</v>
      </c>
      <c r="H68" s="123">
        <f t="shared" si="11"/>
        <v>253.92693952083766</v>
      </c>
      <c r="I68" s="241"/>
      <c r="J68" s="44"/>
      <c r="K68" s="44"/>
      <c r="L68" s="44"/>
      <c r="M68" s="44"/>
      <c r="N68" s="44"/>
      <c r="O68" s="44"/>
      <c r="P68" s="44"/>
      <c r="Q68" s="237"/>
      <c r="R68" s="44"/>
      <c r="S68" s="44"/>
      <c r="T68" s="44"/>
    </row>
    <row r="69" spans="1:20" ht="15">
      <c r="A69" s="14">
        <v>62</v>
      </c>
      <c r="B69" s="9" t="s">
        <v>60</v>
      </c>
      <c r="C69" s="261">
        <v>101</v>
      </c>
      <c r="D69" s="140">
        <v>167877</v>
      </c>
      <c r="E69" s="286">
        <v>55</v>
      </c>
      <c r="F69" s="229">
        <v>434915.3</v>
      </c>
      <c r="G69" s="122">
        <f t="shared" si="11"/>
        <v>-45.544554455445542</v>
      </c>
      <c r="H69" s="123">
        <f t="shared" si="11"/>
        <v>159.06782942273213</v>
      </c>
      <c r="I69" s="222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</row>
    <row r="70" spans="1:20" ht="15.75">
      <c r="A70" s="34"/>
      <c r="B70" s="31" t="s">
        <v>61</v>
      </c>
      <c r="C70" s="254">
        <f>SUM(C56:C69)</f>
        <v>1267</v>
      </c>
      <c r="D70" s="179">
        <f>SUM(D56:D69)</f>
        <v>16292828.069999998</v>
      </c>
      <c r="E70" s="271">
        <f>SUM(E56:E69)</f>
        <v>1260</v>
      </c>
      <c r="F70" s="179">
        <f>SUM(F56:F69)</f>
        <v>25935408.489999995</v>
      </c>
      <c r="G70" s="124">
        <f t="shared" ref="G70:H76" si="12">E70/C70*100-100</f>
        <v>-0.55248618784530379</v>
      </c>
      <c r="H70" s="125">
        <f>F70/D70*100-100</f>
        <v>59.182975347017191</v>
      </c>
      <c r="I70" s="226"/>
      <c r="J70" s="44"/>
      <c r="K70" s="44"/>
      <c r="L70" s="44"/>
      <c r="M70" s="44"/>
      <c r="N70" s="44"/>
      <c r="O70" s="44"/>
      <c r="P70" s="44"/>
      <c r="Q70" s="44"/>
      <c r="R70" s="44"/>
      <c r="S70" s="247"/>
      <c r="T70" s="44"/>
    </row>
    <row r="71" spans="1:20" ht="15">
      <c r="A71" s="14">
        <v>63</v>
      </c>
      <c r="B71" s="9" t="s">
        <v>62</v>
      </c>
      <c r="C71" s="52">
        <v>10</v>
      </c>
      <c r="D71" s="140">
        <v>55733.570000000007</v>
      </c>
      <c r="E71" s="287">
        <v>7</v>
      </c>
      <c r="F71" s="276">
        <v>54202.29</v>
      </c>
      <c r="G71" s="122">
        <f t="shared" si="12"/>
        <v>-30</v>
      </c>
      <c r="H71" s="123">
        <f>F71/D71*100-100</f>
        <v>-2.7475002947057021</v>
      </c>
      <c r="I71" s="228"/>
      <c r="J71" s="244"/>
      <c r="K71" s="244"/>
      <c r="L71" s="241"/>
      <c r="M71" s="241"/>
      <c r="N71" s="244"/>
      <c r="O71" s="228"/>
      <c r="P71" s="244"/>
      <c r="Q71" s="244"/>
      <c r="R71" s="241"/>
      <c r="S71" s="44"/>
      <c r="T71" s="44"/>
    </row>
    <row r="72" spans="1:20" ht="15">
      <c r="A72" s="14">
        <v>64</v>
      </c>
      <c r="B72" s="9" t="s">
        <v>63</v>
      </c>
      <c r="C72" s="52">
        <v>36</v>
      </c>
      <c r="D72" s="140">
        <v>276473.37</v>
      </c>
      <c r="E72" s="287">
        <v>34</v>
      </c>
      <c r="F72" s="276">
        <v>303056.68</v>
      </c>
      <c r="G72" s="122">
        <f t="shared" si="12"/>
        <v>-5.5555555555555571</v>
      </c>
      <c r="H72" s="123">
        <f>F72/D72*100-100</f>
        <v>9.6151430425288424</v>
      </c>
      <c r="I72" s="228"/>
      <c r="J72" s="244"/>
      <c r="K72" s="244"/>
      <c r="L72" s="241"/>
      <c r="M72" s="241"/>
      <c r="N72" s="244"/>
      <c r="O72" s="228"/>
      <c r="P72" s="244"/>
      <c r="Q72" s="244"/>
      <c r="R72" s="241"/>
      <c r="S72" s="237"/>
      <c r="T72" s="44"/>
    </row>
    <row r="73" spans="1:20" ht="15">
      <c r="A73" s="14">
        <v>65</v>
      </c>
      <c r="B73" s="9" t="s">
        <v>64</v>
      </c>
      <c r="C73" s="52">
        <v>15</v>
      </c>
      <c r="D73" s="140">
        <v>94207.930000000008</v>
      </c>
      <c r="E73" s="287">
        <v>13</v>
      </c>
      <c r="F73" s="276">
        <v>624381.26</v>
      </c>
      <c r="G73" s="122">
        <f t="shared" si="12"/>
        <v>-13.333333333333329</v>
      </c>
      <c r="H73" s="123">
        <f>F73/D73*100-100</f>
        <v>562.76932313447492</v>
      </c>
      <c r="I73" s="228"/>
      <c r="J73" s="244"/>
      <c r="K73" s="244"/>
      <c r="L73" s="241"/>
      <c r="M73" s="241"/>
      <c r="N73" s="244"/>
      <c r="O73" s="228"/>
      <c r="P73" s="244"/>
      <c r="Q73" s="244"/>
      <c r="R73" s="241"/>
      <c r="S73" s="44"/>
      <c r="T73" s="44"/>
    </row>
    <row r="74" spans="1:20" ht="15">
      <c r="A74" s="14">
        <v>66</v>
      </c>
      <c r="B74" s="9" t="s">
        <v>65</v>
      </c>
      <c r="C74" s="52">
        <v>35</v>
      </c>
      <c r="D74" s="140">
        <v>265613.78000000003</v>
      </c>
      <c r="E74" s="287">
        <v>25</v>
      </c>
      <c r="F74" s="276">
        <v>150293.5</v>
      </c>
      <c r="G74" s="122">
        <f t="shared" si="12"/>
        <v>-28.571428571428569</v>
      </c>
      <c r="H74" s="123">
        <f>F74/D74*100-100</f>
        <v>-43.416527561183017</v>
      </c>
      <c r="I74" s="228"/>
      <c r="J74" s="244"/>
      <c r="K74" s="244"/>
      <c r="L74" s="241"/>
      <c r="M74" s="241"/>
      <c r="N74" s="244"/>
      <c r="O74" s="228"/>
      <c r="P74" s="244"/>
      <c r="Q74" s="244"/>
      <c r="R74" s="241"/>
      <c r="S74" s="44"/>
      <c r="T74" s="44"/>
    </row>
    <row r="75" spans="1:20" ht="15">
      <c r="A75" s="14">
        <v>67</v>
      </c>
      <c r="B75" s="9" t="s">
        <v>66</v>
      </c>
      <c r="C75" s="52">
        <v>14</v>
      </c>
      <c r="D75" s="140">
        <v>143569.24</v>
      </c>
      <c r="E75" s="287">
        <v>13</v>
      </c>
      <c r="F75" s="276">
        <v>86811.22</v>
      </c>
      <c r="G75" s="122">
        <f t="shared" si="12"/>
        <v>-7.1428571428571388</v>
      </c>
      <c r="H75" s="123">
        <f t="shared" si="12"/>
        <v>-39.533551894542306</v>
      </c>
      <c r="I75" s="228"/>
      <c r="J75" s="244"/>
      <c r="K75" s="244"/>
      <c r="L75" s="241"/>
      <c r="M75" s="241"/>
      <c r="N75" s="244"/>
      <c r="O75" s="228"/>
      <c r="P75" s="244"/>
      <c r="Q75" s="244"/>
      <c r="R75" s="241"/>
      <c r="S75" s="44"/>
      <c r="T75" s="44"/>
    </row>
    <row r="76" spans="1:20" ht="15">
      <c r="A76" s="14">
        <v>68</v>
      </c>
      <c r="B76" s="9" t="s">
        <v>67</v>
      </c>
      <c r="C76" s="52">
        <v>28</v>
      </c>
      <c r="D76" s="140">
        <v>289876.78000000003</v>
      </c>
      <c r="E76" s="287">
        <v>7</v>
      </c>
      <c r="F76" s="276">
        <v>28560.48</v>
      </c>
      <c r="G76" s="122">
        <f t="shared" si="12"/>
        <v>-75</v>
      </c>
      <c r="H76" s="123">
        <f t="shared" si="12"/>
        <v>-90.147372273143091</v>
      </c>
      <c r="I76" s="228"/>
      <c r="J76" s="244"/>
      <c r="K76" s="244"/>
      <c r="L76" s="241"/>
      <c r="M76" s="241"/>
      <c r="N76" s="244"/>
      <c r="O76" s="228"/>
      <c r="P76" s="244"/>
      <c r="Q76" s="244"/>
      <c r="R76" s="241"/>
      <c r="S76" s="44"/>
      <c r="T76" s="44"/>
    </row>
    <row r="77" spans="1:20" ht="15.75">
      <c r="A77" s="34"/>
      <c r="B77" s="31" t="s">
        <v>68</v>
      </c>
      <c r="C77" s="254">
        <f>C71+C72+C73+C74+C75+C76</f>
        <v>138</v>
      </c>
      <c r="D77" s="179">
        <f>D71+D72+D73+D74+D75+D76</f>
        <v>1125474.67</v>
      </c>
      <c r="E77" s="271">
        <f>E71+E72+E73+E74+E75+E76</f>
        <v>99</v>
      </c>
      <c r="F77" s="179">
        <f>F71+F72+F73+F74+F75+F76</f>
        <v>1247305.43</v>
      </c>
      <c r="G77" s="124">
        <f t="shared" ref="G77:H80" si="13">E77/C77*100-100</f>
        <v>-28.260869565217391</v>
      </c>
      <c r="H77" s="125">
        <f t="shared" si="13"/>
        <v>10.824833578884551</v>
      </c>
      <c r="I77" s="228"/>
      <c r="J77" s="244"/>
      <c r="K77" s="244"/>
      <c r="L77" s="241"/>
      <c r="M77" s="241"/>
      <c r="N77" s="244"/>
      <c r="O77" s="228"/>
      <c r="P77" s="244"/>
      <c r="Q77" s="244"/>
      <c r="R77" s="241"/>
      <c r="S77" s="44"/>
      <c r="T77" s="44"/>
    </row>
    <row r="78" spans="1:20" ht="15">
      <c r="A78" s="14">
        <v>69</v>
      </c>
      <c r="B78" s="9" t="s">
        <v>69</v>
      </c>
      <c r="C78" s="52">
        <v>5</v>
      </c>
      <c r="D78" s="140">
        <v>11742.98</v>
      </c>
      <c r="E78" s="266">
        <v>12</v>
      </c>
      <c r="F78" s="180">
        <v>26586.519999999997</v>
      </c>
      <c r="G78" s="122">
        <f>E78/C78*100-100</f>
        <v>140</v>
      </c>
      <c r="H78" s="122">
        <f>F78/D78*100-100</f>
        <v>126.40351937923762</v>
      </c>
      <c r="I78" s="235"/>
      <c r="J78" s="236"/>
      <c r="K78" s="237"/>
      <c r="L78" s="238"/>
      <c r="M78" s="237"/>
      <c r="N78" s="233"/>
      <c r="O78" s="237"/>
      <c r="P78" s="237"/>
      <c r="Q78" s="239"/>
      <c r="R78" s="231"/>
      <c r="S78" s="44"/>
      <c r="T78" s="44"/>
    </row>
    <row r="79" spans="1:20" ht="15">
      <c r="A79" s="14">
        <v>70</v>
      </c>
      <c r="B79" s="9" t="s">
        <v>71</v>
      </c>
      <c r="C79" s="52">
        <v>7</v>
      </c>
      <c r="D79" s="140">
        <v>116850.12000000001</v>
      </c>
      <c r="E79" s="266">
        <v>4</v>
      </c>
      <c r="F79" s="180">
        <v>4759</v>
      </c>
      <c r="G79" s="122">
        <f t="shared" si="13"/>
        <v>-42.857142857142861</v>
      </c>
      <c r="H79" s="123">
        <f t="shared" si="13"/>
        <v>-95.927261349838574</v>
      </c>
      <c r="I79" s="235"/>
      <c r="J79" s="236"/>
      <c r="K79" s="237"/>
      <c r="L79" s="238"/>
      <c r="M79" s="237"/>
      <c r="N79" s="233"/>
      <c r="O79" s="237"/>
      <c r="P79" s="237"/>
      <c r="Q79" s="239"/>
      <c r="R79" s="231"/>
      <c r="S79" s="44"/>
      <c r="T79" s="44"/>
    </row>
    <row r="80" spans="1:20" ht="15">
      <c r="A80" s="14">
        <v>71</v>
      </c>
      <c r="B80" s="9" t="s">
        <v>72</v>
      </c>
      <c r="C80" s="52">
        <v>9</v>
      </c>
      <c r="D80" s="140">
        <v>16537</v>
      </c>
      <c r="E80" s="266">
        <v>6</v>
      </c>
      <c r="F80" s="180">
        <v>163209.87</v>
      </c>
      <c r="G80" s="122">
        <f t="shared" si="13"/>
        <v>-33.333333333333343</v>
      </c>
      <c r="H80" s="123">
        <f t="shared" si="13"/>
        <v>886.937594485094</v>
      </c>
      <c r="I80" s="235"/>
      <c r="J80" s="236"/>
      <c r="K80" s="237"/>
      <c r="L80" s="238"/>
      <c r="M80" s="237"/>
      <c r="N80" s="233"/>
      <c r="O80" s="237"/>
      <c r="P80" s="237"/>
      <c r="Q80" s="239"/>
      <c r="R80" s="231"/>
      <c r="S80" s="44"/>
      <c r="T80" s="44"/>
    </row>
    <row r="81" spans="1:20" ht="15">
      <c r="A81" s="14">
        <v>72</v>
      </c>
      <c r="B81" s="9" t="s">
        <v>73</v>
      </c>
      <c r="C81" s="52">
        <v>20</v>
      </c>
      <c r="D81" s="140">
        <v>87617</v>
      </c>
      <c r="E81" s="292">
        <v>7</v>
      </c>
      <c r="F81" s="180">
        <v>37677</v>
      </c>
      <c r="G81" s="122">
        <f t="shared" ref="G81:G87" si="14">E81/C81*100-100</f>
        <v>-65</v>
      </c>
      <c r="H81" s="123">
        <f t="shared" ref="H81:H87" si="15">F81/D81*100-100</f>
        <v>-56.998071150575804</v>
      </c>
      <c r="I81" s="235"/>
      <c r="J81" s="236"/>
      <c r="K81" s="237"/>
      <c r="L81" s="238"/>
      <c r="M81" s="237"/>
      <c r="N81" s="233"/>
      <c r="O81" s="237"/>
      <c r="P81" s="237"/>
      <c r="Q81" s="239"/>
      <c r="R81" s="231"/>
      <c r="S81" s="44"/>
      <c r="T81" s="44"/>
    </row>
    <row r="82" spans="1:20" ht="15">
      <c r="A82" s="14">
        <v>73</v>
      </c>
      <c r="B82" s="9" t="s">
        <v>74</v>
      </c>
      <c r="C82" s="52">
        <v>9</v>
      </c>
      <c r="D82" s="140">
        <v>16711.829999999998</v>
      </c>
      <c r="E82" s="266">
        <v>7</v>
      </c>
      <c r="F82" s="180">
        <v>116681.81</v>
      </c>
      <c r="G82" s="122">
        <f t="shared" si="14"/>
        <v>-22.222222222222214</v>
      </c>
      <c r="H82" s="123">
        <f t="shared" si="15"/>
        <v>598.19888067315196</v>
      </c>
      <c r="I82" s="235"/>
      <c r="J82" s="236"/>
      <c r="K82" s="237"/>
      <c r="L82" s="238"/>
      <c r="M82" s="237"/>
      <c r="N82" s="233"/>
      <c r="O82" s="237"/>
      <c r="P82" s="237"/>
      <c r="Q82" s="239"/>
      <c r="R82" s="231"/>
      <c r="S82" s="237"/>
      <c r="T82" s="44"/>
    </row>
    <row r="83" spans="1:20" ht="15">
      <c r="A83" s="14">
        <v>74</v>
      </c>
      <c r="B83" s="9" t="s">
        <v>75</v>
      </c>
      <c r="C83" s="52">
        <v>5</v>
      </c>
      <c r="D83" s="140">
        <v>16657.93</v>
      </c>
      <c r="E83" s="266">
        <v>5</v>
      </c>
      <c r="F83" s="180">
        <v>7141.99</v>
      </c>
      <c r="G83" s="122">
        <f t="shared" si="14"/>
        <v>0</v>
      </c>
      <c r="H83" s="123">
        <f t="shared" si="15"/>
        <v>-57.125585231778501</v>
      </c>
      <c r="I83" s="235"/>
      <c r="J83" s="236"/>
      <c r="K83" s="237"/>
      <c r="L83" s="238"/>
      <c r="M83" s="237"/>
      <c r="N83" s="233"/>
      <c r="O83" s="237"/>
      <c r="P83" s="237"/>
      <c r="Q83" s="239"/>
      <c r="R83" s="231"/>
      <c r="S83" s="44"/>
      <c r="T83" s="44"/>
    </row>
    <row r="84" spans="1:20" ht="15">
      <c r="A84" s="14">
        <v>75</v>
      </c>
      <c r="B84" s="9" t="s">
        <v>76</v>
      </c>
      <c r="C84" s="52">
        <v>1</v>
      </c>
      <c r="D84" s="140">
        <v>4404</v>
      </c>
      <c r="E84" s="266">
        <v>1</v>
      </c>
      <c r="F84" s="180">
        <v>1457.85</v>
      </c>
      <c r="G84" s="122">
        <f t="shared" si="14"/>
        <v>0</v>
      </c>
      <c r="H84" s="123">
        <f t="shared" si="15"/>
        <v>-66.897138964577664</v>
      </c>
      <c r="I84" s="235"/>
      <c r="J84" s="236"/>
      <c r="K84" s="237"/>
      <c r="L84" s="238"/>
      <c r="M84" s="237"/>
      <c r="N84" s="233"/>
      <c r="O84" s="237"/>
      <c r="P84" s="237"/>
      <c r="Q84" s="239"/>
      <c r="R84" s="231"/>
      <c r="S84" s="44"/>
      <c r="T84" s="44"/>
    </row>
    <row r="85" spans="1:20" s="42" customFormat="1" ht="15">
      <c r="A85" s="14">
        <v>76</v>
      </c>
      <c r="B85" s="41" t="s">
        <v>78</v>
      </c>
      <c r="C85" s="52">
        <v>0</v>
      </c>
      <c r="D85" s="140">
        <v>0</v>
      </c>
      <c r="E85" s="266">
        <v>0</v>
      </c>
      <c r="F85" s="180">
        <v>0</v>
      </c>
      <c r="G85" s="265">
        <v>0</v>
      </c>
      <c r="H85" s="265">
        <v>0</v>
      </c>
      <c r="I85" s="235"/>
      <c r="J85" s="236"/>
      <c r="K85" s="237"/>
      <c r="L85" s="238"/>
      <c r="M85" s="237"/>
      <c r="N85" s="233"/>
      <c r="O85" s="237"/>
      <c r="P85" s="237"/>
      <c r="Q85" s="239"/>
      <c r="R85" s="245"/>
      <c r="S85" s="248"/>
      <c r="T85" s="246"/>
    </row>
    <row r="86" spans="1:20" s="42" customFormat="1" ht="15">
      <c r="A86" s="14">
        <v>77</v>
      </c>
      <c r="B86" s="41" t="s">
        <v>79</v>
      </c>
      <c r="C86" s="261">
        <v>0</v>
      </c>
      <c r="D86" s="140">
        <v>0</v>
      </c>
      <c r="E86" s="266">
        <v>0</v>
      </c>
      <c r="F86" s="180">
        <v>0</v>
      </c>
      <c r="G86" s="265">
        <v>0</v>
      </c>
      <c r="H86" s="265">
        <v>0</v>
      </c>
      <c r="I86" s="235"/>
      <c r="J86" s="236"/>
      <c r="K86" s="237"/>
      <c r="L86" s="238"/>
      <c r="M86" s="237"/>
      <c r="N86" s="233"/>
      <c r="O86" s="237"/>
      <c r="P86" s="237"/>
      <c r="Q86" s="239"/>
      <c r="R86" s="245"/>
      <c r="S86" s="246"/>
      <c r="T86" s="246"/>
    </row>
    <row r="87" spans="1:20" ht="15">
      <c r="A87" s="14">
        <v>78</v>
      </c>
      <c r="B87" s="9" t="s">
        <v>80</v>
      </c>
      <c r="C87" s="261">
        <v>2</v>
      </c>
      <c r="D87" s="140">
        <v>49673.65</v>
      </c>
      <c r="E87" s="266">
        <v>1</v>
      </c>
      <c r="F87" s="267">
        <v>3044.19</v>
      </c>
      <c r="G87" s="122">
        <f t="shared" si="14"/>
        <v>-50</v>
      </c>
      <c r="H87" s="123">
        <f t="shared" si="15"/>
        <v>-93.871620064158762</v>
      </c>
      <c r="I87" s="235"/>
      <c r="J87" s="236"/>
      <c r="K87" s="237"/>
      <c r="L87" s="238"/>
      <c r="M87" s="237"/>
      <c r="N87" s="233"/>
      <c r="O87" s="237"/>
      <c r="P87" s="237"/>
      <c r="Q87" s="239"/>
      <c r="R87" s="231"/>
      <c r="S87" s="44"/>
      <c r="T87" s="44"/>
    </row>
    <row r="88" spans="1:20" ht="15.75">
      <c r="A88" s="34"/>
      <c r="B88" s="31" t="s">
        <v>81</v>
      </c>
      <c r="C88" s="254">
        <f>SUM(C78:C87)</f>
        <v>58</v>
      </c>
      <c r="D88" s="179">
        <f>SUM(D78:D87)</f>
        <v>320194.51</v>
      </c>
      <c r="E88" s="271">
        <f>SUM(E78:E87)</f>
        <v>43</v>
      </c>
      <c r="F88" s="179">
        <f>SUM(F78:F87)</f>
        <v>360558.22999999992</v>
      </c>
      <c r="G88" s="124">
        <f>E88/C88*100-100</f>
        <v>-25.862068965517238</v>
      </c>
      <c r="H88" s="125">
        <f>F88/D88*100-100</f>
        <v>12.606000021674291</v>
      </c>
      <c r="I88" s="221"/>
      <c r="J88" s="44"/>
      <c r="K88" s="44"/>
      <c r="L88" s="44"/>
      <c r="M88" s="44"/>
      <c r="N88" s="44"/>
      <c r="O88" s="44"/>
      <c r="P88" s="44"/>
      <c r="Q88" s="240"/>
      <c r="R88" s="231"/>
      <c r="S88" s="44"/>
      <c r="T88" s="44"/>
    </row>
    <row r="89" spans="1:20" ht="15">
      <c r="A89" s="14">
        <v>79</v>
      </c>
      <c r="B89" s="10" t="s">
        <v>82</v>
      </c>
      <c r="C89" s="52">
        <v>7</v>
      </c>
      <c r="D89" s="140">
        <v>78178.38</v>
      </c>
      <c r="E89" s="286">
        <v>9</v>
      </c>
      <c r="F89" s="274">
        <v>47439.4</v>
      </c>
      <c r="G89" s="122">
        <f t="shared" ref="G89:G99" si="16">E89/C89*100-100</f>
        <v>28.571428571428584</v>
      </c>
      <c r="H89" s="123">
        <f t="shared" ref="H89:H99" si="17">F89/D89*100-100</f>
        <v>-39.319029122885382</v>
      </c>
      <c r="I89" s="228"/>
      <c r="J89" s="44"/>
      <c r="K89" s="44"/>
      <c r="L89" s="44"/>
      <c r="M89" s="44"/>
      <c r="N89" s="44"/>
      <c r="O89" s="44"/>
      <c r="P89" s="44"/>
      <c r="Q89" s="231"/>
      <c r="R89" s="231"/>
      <c r="S89" s="44"/>
      <c r="T89" s="44"/>
    </row>
    <row r="90" spans="1:20" ht="15">
      <c r="A90" s="14">
        <v>80</v>
      </c>
      <c r="B90" s="10" t="s">
        <v>83</v>
      </c>
      <c r="C90" s="52">
        <v>0</v>
      </c>
      <c r="D90" s="140">
        <v>0</v>
      </c>
      <c r="E90" s="286">
        <v>2</v>
      </c>
      <c r="F90" s="169">
        <v>2855.77</v>
      </c>
      <c r="G90" s="265">
        <v>0</v>
      </c>
      <c r="H90" s="265">
        <v>0</v>
      </c>
      <c r="I90" s="228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</row>
    <row r="91" spans="1:20" ht="15">
      <c r="A91" s="14">
        <v>81</v>
      </c>
      <c r="B91" s="38" t="s">
        <v>70</v>
      </c>
      <c r="C91" s="261">
        <v>3</v>
      </c>
      <c r="D91" s="140">
        <v>984.34</v>
      </c>
      <c r="E91" s="286">
        <v>1</v>
      </c>
      <c r="F91" s="169">
        <v>113.31</v>
      </c>
      <c r="G91" s="122">
        <f t="shared" si="16"/>
        <v>-66.666666666666671</v>
      </c>
      <c r="H91" s="123">
        <f t="shared" si="17"/>
        <v>-88.488733567669712</v>
      </c>
      <c r="I91" s="228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</row>
    <row r="92" spans="1:20" ht="15">
      <c r="A92" s="14">
        <v>82</v>
      </c>
      <c r="B92" s="39" t="s">
        <v>84</v>
      </c>
      <c r="C92" s="261">
        <v>2</v>
      </c>
      <c r="D92" s="140">
        <v>7072.1399999999994</v>
      </c>
      <c r="E92" s="286">
        <v>1</v>
      </c>
      <c r="F92" s="169">
        <v>8996.94</v>
      </c>
      <c r="G92" s="122">
        <f t="shared" si="16"/>
        <v>-50</v>
      </c>
      <c r="H92" s="123">
        <f t="shared" si="17"/>
        <v>27.216655778873175</v>
      </c>
      <c r="I92" s="228"/>
      <c r="J92" s="44"/>
      <c r="K92" s="44"/>
      <c r="L92" s="44"/>
      <c r="M92" s="44"/>
      <c r="N92" s="44"/>
      <c r="O92" s="44"/>
      <c r="P92" s="44"/>
      <c r="Q92" s="44"/>
      <c r="R92" s="44"/>
    </row>
    <row r="93" spans="1:20" ht="15">
      <c r="A93" s="14">
        <v>83</v>
      </c>
      <c r="B93" s="39" t="s">
        <v>85</v>
      </c>
      <c r="C93" s="261">
        <v>3</v>
      </c>
      <c r="D93" s="140">
        <v>21566.91</v>
      </c>
      <c r="E93" s="286">
        <v>2</v>
      </c>
      <c r="F93" s="169">
        <v>10865.07</v>
      </c>
      <c r="G93" s="122">
        <f t="shared" si="16"/>
        <v>-33.333333333333343</v>
      </c>
      <c r="H93" s="123">
        <f t="shared" si="17"/>
        <v>-49.621573048712122</v>
      </c>
      <c r="I93" s="228"/>
      <c r="J93" s="44"/>
      <c r="K93" s="44"/>
      <c r="L93" s="44"/>
      <c r="M93" s="44"/>
      <c r="N93" s="44"/>
      <c r="O93" s="44"/>
      <c r="P93" s="44"/>
      <c r="Q93" s="44"/>
      <c r="R93" s="44"/>
    </row>
    <row r="94" spans="1:20" ht="15">
      <c r="A94" s="14">
        <v>84</v>
      </c>
      <c r="B94" s="10" t="s">
        <v>86</v>
      </c>
      <c r="C94" s="261">
        <v>3</v>
      </c>
      <c r="D94" s="140">
        <v>6965.57</v>
      </c>
      <c r="E94" s="286">
        <v>3</v>
      </c>
      <c r="F94" s="169">
        <v>7564.0599999999995</v>
      </c>
      <c r="G94" s="122">
        <f t="shared" si="16"/>
        <v>0</v>
      </c>
      <c r="H94" s="123">
        <f t="shared" si="17"/>
        <v>8.5921180894025895</v>
      </c>
      <c r="I94" s="228"/>
      <c r="J94" s="44"/>
      <c r="K94" s="44"/>
      <c r="L94" s="44"/>
      <c r="M94" s="44"/>
      <c r="N94" s="44"/>
      <c r="O94" s="44"/>
      <c r="P94" s="44"/>
      <c r="Q94" s="44"/>
      <c r="R94" s="44"/>
    </row>
    <row r="95" spans="1:20" ht="15">
      <c r="A95" s="14">
        <v>85</v>
      </c>
      <c r="B95" s="38" t="s">
        <v>77</v>
      </c>
      <c r="C95" s="52">
        <v>0</v>
      </c>
      <c r="D95" s="140">
        <v>0</v>
      </c>
      <c r="E95" s="293">
        <v>2</v>
      </c>
      <c r="F95" s="169">
        <v>5655.39</v>
      </c>
      <c r="G95" s="122">
        <v>0</v>
      </c>
      <c r="H95" s="123">
        <v>0</v>
      </c>
      <c r="I95" s="228"/>
      <c r="J95" s="44"/>
      <c r="K95" s="44"/>
      <c r="L95" s="44"/>
      <c r="M95" s="44"/>
      <c r="N95" s="44"/>
      <c r="O95" s="44"/>
      <c r="P95" s="44"/>
      <c r="Q95" s="44"/>
      <c r="R95" s="44"/>
    </row>
    <row r="96" spans="1:20" ht="15">
      <c r="A96" s="14">
        <v>86</v>
      </c>
      <c r="B96" s="10" t="s">
        <v>87</v>
      </c>
      <c r="C96" s="52">
        <v>17</v>
      </c>
      <c r="D96" s="140">
        <v>81940.890000000014</v>
      </c>
      <c r="E96" s="286">
        <v>14</v>
      </c>
      <c r="F96" s="169">
        <v>114540.48999999999</v>
      </c>
      <c r="G96" s="122">
        <f t="shared" si="16"/>
        <v>-17.64705882352942</v>
      </c>
      <c r="H96" s="123">
        <f t="shared" si="17"/>
        <v>39.784288405947223</v>
      </c>
      <c r="I96" s="228"/>
      <c r="J96" s="44"/>
      <c r="K96" s="44"/>
      <c r="L96" s="44"/>
      <c r="M96" s="44"/>
      <c r="N96" s="44"/>
      <c r="O96" s="44"/>
      <c r="P96" s="44"/>
      <c r="Q96" s="44"/>
      <c r="R96" s="44"/>
    </row>
    <row r="97" spans="1:18" ht="15">
      <c r="A97" s="14">
        <v>87</v>
      </c>
      <c r="B97" s="10" t="s">
        <v>88</v>
      </c>
      <c r="C97" s="52">
        <v>2</v>
      </c>
      <c r="D97" s="140">
        <v>2425</v>
      </c>
      <c r="E97" s="286">
        <v>2</v>
      </c>
      <c r="F97" s="169">
        <v>4220</v>
      </c>
      <c r="G97" s="122">
        <f t="shared" si="16"/>
        <v>0</v>
      </c>
      <c r="H97" s="123">
        <f t="shared" si="17"/>
        <v>74.020618556701038</v>
      </c>
      <c r="I97" s="228"/>
      <c r="J97" s="44"/>
      <c r="K97" s="44"/>
      <c r="L97" s="44"/>
      <c r="M97" s="44"/>
      <c r="N97" s="44"/>
      <c r="O97" s="44"/>
      <c r="P97" s="44"/>
      <c r="Q97" s="44"/>
      <c r="R97" s="44"/>
    </row>
    <row r="98" spans="1:18" ht="15">
      <c r="A98" s="14">
        <v>88</v>
      </c>
      <c r="B98" s="10" t="s">
        <v>89</v>
      </c>
      <c r="C98" s="52">
        <v>2</v>
      </c>
      <c r="D98" s="140">
        <v>2854.75</v>
      </c>
      <c r="E98" s="286">
        <v>5</v>
      </c>
      <c r="F98" s="169">
        <v>4220</v>
      </c>
      <c r="G98" s="122">
        <f t="shared" si="16"/>
        <v>150</v>
      </c>
      <c r="H98" s="123">
        <f t="shared" si="17"/>
        <v>47.823802434538919</v>
      </c>
      <c r="I98" s="228"/>
      <c r="J98" s="44"/>
      <c r="K98" s="44"/>
      <c r="L98" s="44"/>
      <c r="M98" s="44"/>
      <c r="N98" s="44"/>
      <c r="O98" s="44"/>
      <c r="P98" s="44"/>
      <c r="Q98" s="44"/>
      <c r="R98" s="44"/>
    </row>
    <row r="99" spans="1:18" ht="15">
      <c r="A99" s="14">
        <v>89</v>
      </c>
      <c r="B99" s="10" t="s">
        <v>90</v>
      </c>
      <c r="C99" s="52">
        <v>6</v>
      </c>
      <c r="D99" s="140">
        <v>58649.36</v>
      </c>
      <c r="E99" s="286">
        <v>5</v>
      </c>
      <c r="F99" s="169">
        <v>104090.66</v>
      </c>
      <c r="G99" s="122">
        <f t="shared" si="16"/>
        <v>-16.666666666666657</v>
      </c>
      <c r="H99" s="123">
        <f t="shared" si="17"/>
        <v>77.479617850902372</v>
      </c>
      <c r="I99" s="228"/>
      <c r="J99" s="44"/>
      <c r="K99" s="44"/>
      <c r="L99" s="44"/>
      <c r="M99" s="44"/>
      <c r="N99" s="44"/>
      <c r="O99" s="44"/>
      <c r="P99" s="44"/>
      <c r="Q99" s="44"/>
      <c r="R99" s="44"/>
    </row>
    <row r="100" spans="1:18" ht="15.75">
      <c r="A100" s="34"/>
      <c r="B100" s="32" t="s">
        <v>91</v>
      </c>
      <c r="C100" s="254">
        <f>SUM(C89:C99)</f>
        <v>45</v>
      </c>
      <c r="D100" s="119">
        <f>SUM(D89:D99)</f>
        <v>260637.34000000003</v>
      </c>
      <c r="E100" s="271">
        <f>E89+E90+E91+E92+E93+E94+E95+E96+E97+E98+E99</f>
        <v>46</v>
      </c>
      <c r="F100" s="119">
        <f>SUM(F89:F99)</f>
        <v>310561.08999999997</v>
      </c>
      <c r="G100" s="124">
        <f>E100/C100*100-100</f>
        <v>2.2222222222222143</v>
      </c>
      <c r="H100" s="125">
        <f>F100/D100*100-100</f>
        <v>19.154488762047663</v>
      </c>
      <c r="I100" s="228"/>
      <c r="J100" s="44"/>
      <c r="K100" s="44"/>
      <c r="L100" s="44"/>
      <c r="M100" s="44"/>
      <c r="N100" s="44"/>
      <c r="O100" s="44"/>
      <c r="P100" s="44"/>
      <c r="Q100" s="44"/>
      <c r="R100" s="44"/>
    </row>
    <row r="101" spans="1:18" ht="15">
      <c r="A101" s="14">
        <v>90</v>
      </c>
      <c r="B101" s="17" t="s">
        <v>104</v>
      </c>
      <c r="C101" s="255"/>
      <c r="D101" s="140"/>
      <c r="E101" s="213">
        <v>0</v>
      </c>
      <c r="F101" s="180">
        <v>0</v>
      </c>
      <c r="G101" s="122">
        <v>0</v>
      </c>
      <c r="H101" s="123">
        <v>0</v>
      </c>
      <c r="I101" s="222"/>
    </row>
    <row r="102" spans="1:18" ht="15.75">
      <c r="A102" s="34"/>
      <c r="B102" s="31" t="s">
        <v>101</v>
      </c>
      <c r="C102" s="254">
        <f>C101</f>
        <v>0</v>
      </c>
      <c r="D102" s="179">
        <f>D101</f>
        <v>0</v>
      </c>
      <c r="E102" s="271">
        <f>E101</f>
        <v>0</v>
      </c>
      <c r="F102" s="179">
        <f>F101</f>
        <v>0</v>
      </c>
      <c r="G102" s="124"/>
      <c r="H102" s="125"/>
      <c r="I102" s="222"/>
    </row>
    <row r="103" spans="1:18" ht="15.75">
      <c r="A103" s="33"/>
      <c r="B103" s="35" t="s">
        <v>111</v>
      </c>
      <c r="C103" s="256">
        <f t="shared" ref="C103:H103" si="18">C102+C100+C88+C77+C70+C55+C47+C34+C22</f>
        <v>5773</v>
      </c>
      <c r="D103" s="178">
        <f t="shared" si="18"/>
        <v>112299689.59000002</v>
      </c>
      <c r="E103" s="273">
        <f t="shared" si="18"/>
        <v>6307</v>
      </c>
      <c r="F103" s="178">
        <f t="shared" si="18"/>
        <v>199102986.74000001</v>
      </c>
      <c r="G103" s="177">
        <f t="shared" si="18"/>
        <v>-29.120328758395814</v>
      </c>
      <c r="H103" s="177">
        <f t="shared" si="18"/>
        <v>281.38522895215067</v>
      </c>
      <c r="I103" s="220"/>
    </row>
    <row r="104" spans="1:18" s="23" customFormat="1" ht="15">
      <c r="A104" s="22"/>
      <c r="B104" s="63"/>
      <c r="C104" s="133"/>
      <c r="D104" s="120"/>
      <c r="E104" s="93"/>
      <c r="F104" s="82"/>
      <c r="G104" s="126"/>
      <c r="H104" s="126"/>
    </row>
    <row r="105" spans="1:18" s="58" customFormat="1" ht="18">
      <c r="A105" s="55"/>
      <c r="B105" s="56" t="s">
        <v>159</v>
      </c>
      <c r="C105" s="295" t="s">
        <v>115</v>
      </c>
      <c r="D105" s="295"/>
      <c r="E105" s="295"/>
      <c r="F105" s="57" t="s">
        <v>160</v>
      </c>
      <c r="G105" s="60"/>
      <c r="H105" s="77"/>
    </row>
    <row r="106" spans="1:18">
      <c r="C106" s="134"/>
      <c r="D106" s="120"/>
      <c r="E106" s="92"/>
      <c r="F106" s="81"/>
      <c r="G106" s="127"/>
      <c r="H106" s="128"/>
    </row>
    <row r="107" spans="1:18" ht="15.75">
      <c r="C107" s="136"/>
      <c r="D107" s="137"/>
      <c r="E107" s="92"/>
      <c r="F107" s="81"/>
      <c r="G107" s="129"/>
    </row>
    <row r="108" spans="1:18">
      <c r="C108" s="136"/>
      <c r="D108" s="136"/>
    </row>
    <row r="109" spans="1:18">
      <c r="G109" s="30"/>
    </row>
    <row r="116" spans="4:4">
      <c r="D116" s="135"/>
    </row>
  </sheetData>
  <mergeCells count="8">
    <mergeCell ref="C105:E105"/>
    <mergeCell ref="A1:H1"/>
    <mergeCell ref="H2:H3"/>
    <mergeCell ref="C2:D2"/>
    <mergeCell ref="E2:F2"/>
    <mergeCell ref="G2:G3"/>
    <mergeCell ref="A2:A3"/>
    <mergeCell ref="B2:B3"/>
  </mergeCells>
  <pageMargins left="0.31496062992125984" right="0.24" top="0" bottom="0" header="0" footer="0.3149606299212598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FF0000"/>
    <pageSetUpPr fitToPage="1"/>
  </sheetPr>
  <dimension ref="A2:C98"/>
  <sheetViews>
    <sheetView topLeftCell="A52" zoomScale="90" zoomScaleNormal="90" workbookViewId="0">
      <selection activeCell="E93" sqref="E93"/>
    </sheetView>
  </sheetViews>
  <sheetFormatPr defaultRowHeight="12.75"/>
  <cols>
    <col min="2" max="2" width="35.42578125" style="146" bestFit="1" customWidth="1"/>
    <col min="3" max="3" width="16.140625" style="147" customWidth="1"/>
  </cols>
  <sheetData>
    <row r="2" spans="1:3" ht="117" customHeight="1">
      <c r="A2" s="148" t="s">
        <v>116</v>
      </c>
      <c r="B2" s="149" t="s">
        <v>0</v>
      </c>
      <c r="C2" s="150" t="s">
        <v>117</v>
      </c>
    </row>
    <row r="3" spans="1:3" ht="12.75" customHeight="1">
      <c r="A3" s="131" t="s">
        <v>118</v>
      </c>
      <c r="B3" s="151" t="s">
        <v>119</v>
      </c>
      <c r="C3" s="152">
        <v>414.7</v>
      </c>
    </row>
    <row r="4" spans="1:3" s="156" customFormat="1">
      <c r="A4" s="153" t="s">
        <v>120</v>
      </c>
      <c r="B4" s="154"/>
      <c r="C4" s="155">
        <v>414.7</v>
      </c>
    </row>
    <row r="5" spans="1:3" ht="12" customHeight="1">
      <c r="A5" s="131" t="s">
        <v>121</v>
      </c>
      <c r="B5" s="151" t="s">
        <v>82</v>
      </c>
      <c r="C5" s="152">
        <v>0</v>
      </c>
    </row>
    <row r="6" spans="1:3">
      <c r="A6" s="131"/>
      <c r="B6" s="151" t="s">
        <v>83</v>
      </c>
      <c r="C6" s="152">
        <v>0</v>
      </c>
    </row>
    <row r="7" spans="1:3">
      <c r="A7" s="131"/>
      <c r="B7" s="151" t="s">
        <v>70</v>
      </c>
      <c r="C7" s="152">
        <v>21163.8</v>
      </c>
    </row>
    <row r="8" spans="1:3">
      <c r="A8" s="131"/>
      <c r="B8" s="151" t="s">
        <v>84</v>
      </c>
      <c r="C8" s="152">
        <v>68491.760000000009</v>
      </c>
    </row>
    <row r="9" spans="1:3">
      <c r="A9" s="131"/>
      <c r="B9" s="151" t="s">
        <v>85</v>
      </c>
      <c r="C9" s="152">
        <v>39823.769999999997</v>
      </c>
    </row>
    <row r="10" spans="1:3">
      <c r="A10" s="131"/>
      <c r="B10" s="151" t="s">
        <v>86</v>
      </c>
      <c r="C10" s="152">
        <v>2932.05</v>
      </c>
    </row>
    <row r="11" spans="1:3">
      <c r="A11" s="131"/>
      <c r="B11" s="151" t="s">
        <v>77</v>
      </c>
      <c r="C11" s="152">
        <v>24356.82</v>
      </c>
    </row>
    <row r="12" spans="1:3">
      <c r="A12" s="131"/>
      <c r="B12" s="151" t="s">
        <v>87</v>
      </c>
      <c r="C12" s="152">
        <v>29853.61</v>
      </c>
    </row>
    <row r="13" spans="1:3">
      <c r="A13" s="131"/>
      <c r="B13" s="151" t="s">
        <v>88</v>
      </c>
      <c r="C13" s="152">
        <v>6493</v>
      </c>
    </row>
    <row r="14" spans="1:3">
      <c r="A14" s="131"/>
      <c r="B14" s="151" t="s">
        <v>89</v>
      </c>
      <c r="C14" s="152">
        <v>0</v>
      </c>
    </row>
    <row r="15" spans="1:3">
      <c r="A15" s="131"/>
      <c r="B15" s="151" t="s">
        <v>90</v>
      </c>
      <c r="C15" s="152">
        <v>0</v>
      </c>
    </row>
    <row r="16" spans="1:3">
      <c r="A16" s="153" t="s">
        <v>122</v>
      </c>
      <c r="B16" s="154"/>
      <c r="C16" s="155">
        <v>193114.81</v>
      </c>
    </row>
    <row r="17" spans="1:3">
      <c r="A17" s="131" t="s">
        <v>123</v>
      </c>
      <c r="B17" s="151" t="s">
        <v>47</v>
      </c>
      <c r="C17" s="152">
        <v>11037.279999999999</v>
      </c>
    </row>
    <row r="18" spans="1:3">
      <c r="A18" s="131"/>
      <c r="B18" s="151" t="s">
        <v>48</v>
      </c>
      <c r="C18" s="152">
        <v>289411.40000000002</v>
      </c>
    </row>
    <row r="19" spans="1:3">
      <c r="A19" s="131"/>
      <c r="B19" s="151" t="s">
        <v>49</v>
      </c>
      <c r="C19" s="152">
        <v>0</v>
      </c>
    </row>
    <row r="20" spans="1:3">
      <c r="A20" s="131"/>
      <c r="B20" s="151" t="s">
        <v>50</v>
      </c>
      <c r="C20" s="152">
        <v>0</v>
      </c>
    </row>
    <row r="21" spans="1:3">
      <c r="A21" s="131"/>
      <c r="B21" s="151" t="s">
        <v>51</v>
      </c>
      <c r="C21" s="152">
        <v>83754.820000000007</v>
      </c>
    </row>
    <row r="22" spans="1:3">
      <c r="A22" s="131"/>
      <c r="B22" s="151" t="s">
        <v>52</v>
      </c>
      <c r="C22" s="152">
        <v>14248.23</v>
      </c>
    </row>
    <row r="23" spans="1:3">
      <c r="A23" s="131"/>
      <c r="B23" s="151" t="s">
        <v>53</v>
      </c>
      <c r="C23" s="152">
        <v>18832</v>
      </c>
    </row>
    <row r="24" spans="1:3">
      <c r="A24" s="131"/>
      <c r="B24" s="151" t="s">
        <v>54</v>
      </c>
      <c r="C24" s="152">
        <v>0</v>
      </c>
    </row>
    <row r="25" spans="1:3">
      <c r="A25" s="131"/>
      <c r="B25" s="151" t="s">
        <v>55</v>
      </c>
      <c r="C25" s="152">
        <v>973442.96</v>
      </c>
    </row>
    <row r="26" spans="1:3" s="102" customFormat="1">
      <c r="A26" s="157"/>
      <c r="B26" s="158" t="s">
        <v>56</v>
      </c>
      <c r="C26" s="152">
        <v>2859079.6700000004</v>
      </c>
    </row>
    <row r="27" spans="1:3">
      <c r="A27" s="131"/>
      <c r="B27" s="151" t="s">
        <v>57</v>
      </c>
      <c r="C27" s="152">
        <v>3384356.4</v>
      </c>
    </row>
    <row r="28" spans="1:3">
      <c r="A28" s="131"/>
      <c r="B28" s="151" t="s">
        <v>58</v>
      </c>
      <c r="C28" s="152">
        <v>0</v>
      </c>
    </row>
    <row r="29" spans="1:3">
      <c r="A29" s="131"/>
      <c r="B29" s="151" t="s">
        <v>59</v>
      </c>
      <c r="C29" s="152">
        <v>379588.04</v>
      </c>
    </row>
    <row r="30" spans="1:3">
      <c r="A30" s="131"/>
      <c r="B30" s="151" t="s">
        <v>60</v>
      </c>
      <c r="C30" s="152">
        <v>196567.38</v>
      </c>
    </row>
    <row r="31" spans="1:3" s="156" customFormat="1">
      <c r="A31" s="153" t="s">
        <v>124</v>
      </c>
      <c r="B31" s="154"/>
      <c r="C31" s="155">
        <v>8210318.1799999997</v>
      </c>
    </row>
    <row r="32" spans="1:3">
      <c r="A32" s="131" t="s">
        <v>125</v>
      </c>
      <c r="B32" s="151" t="s">
        <v>20</v>
      </c>
      <c r="C32" s="152">
        <v>90233.13</v>
      </c>
    </row>
    <row r="33" spans="1:3">
      <c r="A33" s="131"/>
      <c r="B33" s="151" t="s">
        <v>21</v>
      </c>
      <c r="C33" s="152">
        <v>8507.1</v>
      </c>
    </row>
    <row r="34" spans="1:3">
      <c r="A34" s="131"/>
      <c r="B34" s="151" t="s">
        <v>22</v>
      </c>
      <c r="C34" s="152">
        <v>60904.3</v>
      </c>
    </row>
    <row r="35" spans="1:3">
      <c r="A35" s="131"/>
      <c r="B35" s="151" t="s">
        <v>23</v>
      </c>
      <c r="C35" s="152">
        <v>0</v>
      </c>
    </row>
    <row r="36" spans="1:3">
      <c r="A36" s="131"/>
      <c r="B36" s="151" t="s">
        <v>24</v>
      </c>
      <c r="C36" s="152">
        <v>0</v>
      </c>
    </row>
    <row r="37" spans="1:3">
      <c r="A37" s="131"/>
      <c r="B37" s="151" t="s">
        <v>25</v>
      </c>
      <c r="C37" s="152">
        <v>0</v>
      </c>
    </row>
    <row r="38" spans="1:3">
      <c r="A38" s="131"/>
      <c r="B38" s="151" t="s">
        <v>26</v>
      </c>
      <c r="C38" s="152">
        <v>0</v>
      </c>
    </row>
    <row r="39" spans="1:3">
      <c r="A39" s="131"/>
      <c r="B39" s="151" t="s">
        <v>27</v>
      </c>
      <c r="C39" s="152">
        <v>7589.18</v>
      </c>
    </row>
    <row r="40" spans="1:3">
      <c r="A40" s="131"/>
      <c r="B40" s="151" t="s">
        <v>28</v>
      </c>
      <c r="C40" s="152">
        <v>75462.600000000006</v>
      </c>
    </row>
    <row r="41" spans="1:3">
      <c r="A41" s="131"/>
      <c r="B41" s="151" t="s">
        <v>29</v>
      </c>
      <c r="C41" s="152">
        <v>37297.58</v>
      </c>
    </row>
    <row r="42" spans="1:3">
      <c r="A42" s="131"/>
      <c r="B42" s="151" t="s">
        <v>30</v>
      </c>
      <c r="C42" s="152">
        <v>72713.75</v>
      </c>
    </row>
    <row r="43" spans="1:3">
      <c r="A43" s="153" t="s">
        <v>126</v>
      </c>
      <c r="B43" s="154"/>
      <c r="C43" s="155">
        <v>352707.64</v>
      </c>
    </row>
    <row r="44" spans="1:3">
      <c r="A44" s="131" t="s">
        <v>127</v>
      </c>
      <c r="B44" s="151" t="s">
        <v>69</v>
      </c>
      <c r="C44" s="152">
        <v>0</v>
      </c>
    </row>
    <row r="45" spans="1:3">
      <c r="A45" s="131"/>
      <c r="B45" s="151" t="s">
        <v>71</v>
      </c>
      <c r="C45" s="152">
        <v>34692.879999999997</v>
      </c>
    </row>
    <row r="46" spans="1:3">
      <c r="A46" s="131"/>
      <c r="B46" s="151" t="s">
        <v>72</v>
      </c>
      <c r="C46" s="152">
        <v>30934.7</v>
      </c>
    </row>
    <row r="47" spans="1:3">
      <c r="A47" s="131"/>
      <c r="B47" s="151" t="s">
        <v>73</v>
      </c>
      <c r="C47" s="152">
        <v>59684</v>
      </c>
    </row>
    <row r="48" spans="1:3">
      <c r="A48" s="131"/>
      <c r="B48" s="151" t="s">
        <v>74</v>
      </c>
      <c r="C48" s="152">
        <v>50925.95</v>
      </c>
    </row>
    <row r="49" spans="1:3">
      <c r="A49" s="131"/>
      <c r="B49" s="151" t="s">
        <v>75</v>
      </c>
      <c r="C49" s="152">
        <v>14866.2</v>
      </c>
    </row>
    <row r="50" spans="1:3">
      <c r="A50" s="131"/>
      <c r="B50" s="151" t="s">
        <v>76</v>
      </c>
      <c r="C50" s="152">
        <v>253.51</v>
      </c>
    </row>
    <row r="51" spans="1:3">
      <c r="A51" s="131"/>
      <c r="B51" s="151" t="s">
        <v>78</v>
      </c>
      <c r="C51" s="152">
        <v>94.09</v>
      </c>
    </row>
    <row r="52" spans="1:3">
      <c r="A52" s="131"/>
      <c r="B52" s="151" t="s">
        <v>79</v>
      </c>
      <c r="C52" s="152">
        <v>24143.3</v>
      </c>
    </row>
    <row r="53" spans="1:3">
      <c r="A53" s="131"/>
      <c r="B53" s="151" t="s">
        <v>80</v>
      </c>
      <c r="C53" s="152">
        <v>30356.05</v>
      </c>
    </row>
    <row r="54" spans="1:3">
      <c r="A54" s="153" t="s">
        <v>128</v>
      </c>
      <c r="B54" s="154"/>
      <c r="C54" s="155">
        <v>245950.68</v>
      </c>
    </row>
    <row r="55" spans="1:3">
      <c r="A55" s="131" t="s">
        <v>129</v>
      </c>
      <c r="B55" s="151" t="s">
        <v>62</v>
      </c>
      <c r="C55" s="152">
        <v>120342.7</v>
      </c>
    </row>
    <row r="56" spans="1:3">
      <c r="A56" s="131"/>
      <c r="B56" s="151" t="s">
        <v>63</v>
      </c>
      <c r="C56" s="152">
        <v>196970.51</v>
      </c>
    </row>
    <row r="57" spans="1:3">
      <c r="A57" s="131"/>
      <c r="B57" s="151" t="s">
        <v>64</v>
      </c>
      <c r="C57" s="152">
        <v>45402.869999999995</v>
      </c>
    </row>
    <row r="58" spans="1:3">
      <c r="A58" s="131"/>
      <c r="B58" s="151" t="s">
        <v>65</v>
      </c>
      <c r="C58" s="152">
        <v>210239.56</v>
      </c>
    </row>
    <row r="59" spans="1:3">
      <c r="A59" s="131"/>
      <c r="B59" s="151" t="s">
        <v>66</v>
      </c>
      <c r="C59" s="152">
        <v>237696.66</v>
      </c>
    </row>
    <row r="60" spans="1:3">
      <c r="A60" s="131"/>
      <c r="B60" s="151" t="s">
        <v>67</v>
      </c>
      <c r="C60" s="152">
        <v>537859</v>
      </c>
    </row>
    <row r="61" spans="1:3">
      <c r="A61" s="153" t="s">
        <v>130</v>
      </c>
      <c r="B61" s="154"/>
      <c r="C61" s="155">
        <v>1348511.3</v>
      </c>
    </row>
    <row r="62" spans="1:3">
      <c r="A62" s="131" t="s">
        <v>131</v>
      </c>
      <c r="B62" s="151" t="s">
        <v>1</v>
      </c>
      <c r="C62" s="152">
        <v>173193.37</v>
      </c>
    </row>
    <row r="63" spans="1:3">
      <c r="A63" s="131"/>
      <c r="B63" s="151" t="s">
        <v>2</v>
      </c>
      <c r="C63" s="152">
        <v>26987.550000000003</v>
      </c>
    </row>
    <row r="64" spans="1:3">
      <c r="A64" s="131"/>
      <c r="B64" s="151" t="s">
        <v>3</v>
      </c>
      <c r="C64" s="152">
        <v>89538.11</v>
      </c>
    </row>
    <row r="65" spans="1:3">
      <c r="A65" s="131"/>
      <c r="B65" s="151" t="s">
        <v>4</v>
      </c>
      <c r="C65" s="152">
        <v>3864895.6900000004</v>
      </c>
    </row>
    <row r="66" spans="1:3">
      <c r="A66" s="131"/>
      <c r="B66" s="151" t="s">
        <v>5</v>
      </c>
      <c r="C66" s="152">
        <v>22453627.100000001</v>
      </c>
    </row>
    <row r="67" spans="1:3">
      <c r="A67" s="131"/>
      <c r="B67" s="151" t="s">
        <v>6</v>
      </c>
      <c r="C67" s="152">
        <v>60939.94</v>
      </c>
    </row>
    <row r="68" spans="1:3">
      <c r="A68" s="131"/>
      <c r="B68" s="151" t="s">
        <v>7</v>
      </c>
      <c r="C68" s="152">
        <v>498292.35</v>
      </c>
    </row>
    <row r="69" spans="1:3">
      <c r="A69" s="131"/>
      <c r="B69" s="151" t="s">
        <v>8</v>
      </c>
      <c r="C69" s="152">
        <v>160475.4</v>
      </c>
    </row>
    <row r="70" spans="1:3" s="102" customFormat="1">
      <c r="A70" s="157"/>
      <c r="B70" s="158" t="s">
        <v>9</v>
      </c>
      <c r="C70" s="152">
        <v>2177.0700000000002</v>
      </c>
    </row>
    <row r="71" spans="1:3">
      <c r="A71" s="131"/>
      <c r="B71" s="151" t="s">
        <v>10</v>
      </c>
      <c r="C71" s="152">
        <v>981963.63</v>
      </c>
    </row>
    <row r="72" spans="1:3">
      <c r="A72" s="131"/>
      <c r="B72" s="151" t="s">
        <v>11</v>
      </c>
      <c r="C72" s="152">
        <v>7432754.79</v>
      </c>
    </row>
    <row r="73" spans="1:3">
      <c r="A73" s="131"/>
      <c r="B73" s="151" t="s">
        <v>12</v>
      </c>
      <c r="C73" s="152">
        <v>12830.11</v>
      </c>
    </row>
    <row r="74" spans="1:3">
      <c r="A74" s="131"/>
      <c r="B74" s="151" t="s">
        <v>13</v>
      </c>
      <c r="C74" s="152">
        <v>97045.210000000021</v>
      </c>
    </row>
    <row r="75" spans="1:3">
      <c r="A75" s="131"/>
      <c r="B75" s="151" t="s">
        <v>14</v>
      </c>
      <c r="C75" s="152">
        <v>3338.3999999999996</v>
      </c>
    </row>
    <row r="76" spans="1:3">
      <c r="A76" s="131"/>
      <c r="B76" s="151" t="s">
        <v>15</v>
      </c>
      <c r="C76" s="152">
        <v>3003866.8200000003</v>
      </c>
    </row>
    <row r="77" spans="1:3">
      <c r="A77" s="131"/>
      <c r="B77" s="151" t="s">
        <v>16</v>
      </c>
      <c r="C77" s="152">
        <v>68102.44</v>
      </c>
    </row>
    <row r="78" spans="1:3">
      <c r="A78" s="131"/>
      <c r="B78" s="151" t="s">
        <v>17</v>
      </c>
      <c r="C78" s="152">
        <v>75380.67</v>
      </c>
    </row>
    <row r="79" spans="1:3">
      <c r="A79" s="131"/>
      <c r="B79" s="151" t="s">
        <v>18</v>
      </c>
      <c r="C79" s="152">
        <v>47183.76</v>
      </c>
    </row>
    <row r="80" spans="1:3">
      <c r="A80" s="153" t="s">
        <v>132</v>
      </c>
      <c r="B80" s="154"/>
      <c r="C80" s="155">
        <v>39052592.409999996</v>
      </c>
    </row>
    <row r="81" spans="1:3">
      <c r="A81" s="131" t="s">
        <v>133</v>
      </c>
      <c r="B81" s="151" t="s">
        <v>32</v>
      </c>
      <c r="C81" s="152">
        <v>79773.200000000012</v>
      </c>
    </row>
    <row r="82" spans="1:3">
      <c r="A82" s="131"/>
      <c r="B82" s="151" t="s">
        <v>33</v>
      </c>
      <c r="C82" s="152">
        <v>305415</v>
      </c>
    </row>
    <row r="83" spans="1:3">
      <c r="A83" s="131"/>
      <c r="B83" s="151" t="s">
        <v>134</v>
      </c>
      <c r="C83" s="152">
        <v>121969.19</v>
      </c>
    </row>
    <row r="84" spans="1:3" s="102" customFormat="1">
      <c r="A84" s="157"/>
      <c r="B84" s="158" t="s">
        <v>34</v>
      </c>
      <c r="C84" s="152">
        <v>389603.44999999995</v>
      </c>
    </row>
    <row r="85" spans="1:3">
      <c r="A85" s="131"/>
      <c r="B85" s="151" t="s">
        <v>35</v>
      </c>
      <c r="C85" s="152">
        <v>2601.59</v>
      </c>
    </row>
    <row r="86" spans="1:3">
      <c r="A86" s="131"/>
      <c r="B86" s="151" t="s">
        <v>36</v>
      </c>
      <c r="C86" s="152">
        <v>0</v>
      </c>
    </row>
    <row r="87" spans="1:3">
      <c r="A87" s="131"/>
      <c r="B87" s="151" t="s">
        <v>102</v>
      </c>
      <c r="C87" s="152">
        <v>21695.8</v>
      </c>
    </row>
    <row r="88" spans="1:3">
      <c r="A88" s="131"/>
      <c r="B88" s="151" t="s">
        <v>37</v>
      </c>
      <c r="C88" s="152">
        <v>364024.35</v>
      </c>
    </row>
    <row r="89" spans="1:3">
      <c r="A89" s="153" t="s">
        <v>135</v>
      </c>
      <c r="B89" s="154"/>
      <c r="C89" s="155">
        <v>1285082.58</v>
      </c>
    </row>
    <row r="90" spans="1:3" ht="25.5">
      <c r="A90" s="131" t="s">
        <v>136</v>
      </c>
      <c r="B90" s="151" t="s">
        <v>39</v>
      </c>
      <c r="C90" s="152">
        <v>34358.370000000003</v>
      </c>
    </row>
    <row r="91" spans="1:3" ht="25.5">
      <c r="A91" s="131"/>
      <c r="B91" s="151" t="s">
        <v>40</v>
      </c>
      <c r="C91" s="152">
        <v>20646.080000000002</v>
      </c>
    </row>
    <row r="92" spans="1:3">
      <c r="A92" s="131"/>
      <c r="B92" s="151" t="s">
        <v>41</v>
      </c>
      <c r="C92" s="152">
        <v>72761.27</v>
      </c>
    </row>
    <row r="93" spans="1:3">
      <c r="A93" s="131"/>
      <c r="B93" s="151" t="s">
        <v>42</v>
      </c>
      <c r="C93" s="152">
        <v>2205.46</v>
      </c>
    </row>
    <row r="94" spans="1:3" ht="25.5">
      <c r="A94" s="131"/>
      <c r="B94" s="151" t="s">
        <v>43</v>
      </c>
      <c r="C94" s="152">
        <v>44799.89</v>
      </c>
    </row>
    <row r="95" spans="1:3">
      <c r="A95" s="131"/>
      <c r="B95" s="151" t="s">
        <v>44</v>
      </c>
      <c r="C95" s="152">
        <v>148324.85</v>
      </c>
    </row>
    <row r="96" spans="1:3">
      <c r="A96" s="131"/>
      <c r="B96" s="151" t="s">
        <v>45</v>
      </c>
      <c r="C96" s="152">
        <v>0</v>
      </c>
    </row>
    <row r="97" spans="1:3">
      <c r="A97" s="153" t="s">
        <v>137</v>
      </c>
      <c r="B97" s="154"/>
      <c r="C97" s="155">
        <v>323095.92000000004</v>
      </c>
    </row>
    <row r="98" spans="1:3">
      <c r="A98" s="159" t="s">
        <v>138</v>
      </c>
      <c r="B98" s="160"/>
      <c r="C98" s="161">
        <v>51011788.219999999</v>
      </c>
    </row>
  </sheetData>
  <pageMargins left="0.19685039370078741" right="0.19685039370078741" top="0.27559055118110237" bottom="0.19685039370078741" header="0.15748031496062992" footer="0.15748031496062992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rgb="FFFFFF00"/>
    <pageSetUpPr fitToPage="1"/>
  </sheetPr>
  <dimension ref="A1:J17"/>
  <sheetViews>
    <sheetView workbookViewId="0">
      <selection activeCell="C17" sqref="C17"/>
    </sheetView>
  </sheetViews>
  <sheetFormatPr defaultRowHeight="12.75"/>
  <cols>
    <col min="1" max="1" width="16.85546875" customWidth="1"/>
    <col min="2" max="2" width="33.28515625" customWidth="1"/>
    <col min="3" max="3" width="21.28515625" customWidth="1"/>
    <col min="4" max="4" width="22.42578125" customWidth="1"/>
    <col min="5" max="5" width="16.85546875" customWidth="1"/>
    <col min="6" max="6" width="21.85546875" customWidth="1"/>
    <col min="7" max="7" width="16.85546875" customWidth="1"/>
    <col min="8" max="8" width="13.140625" style="24" customWidth="1"/>
    <col min="10" max="10" width="14.5703125" bestFit="1" customWidth="1"/>
  </cols>
  <sheetData>
    <row r="1" spans="1:10" ht="42.75" customHeight="1">
      <c r="A1" s="324" t="s">
        <v>198</v>
      </c>
      <c r="B1" s="324"/>
      <c r="C1" s="324"/>
      <c r="D1" s="324"/>
      <c r="E1" s="324"/>
      <c r="F1" s="324"/>
      <c r="G1" s="324"/>
      <c r="H1" s="324"/>
    </row>
    <row r="2" spans="1:10" ht="72.75" customHeight="1">
      <c r="A2" s="309" t="s">
        <v>96</v>
      </c>
      <c r="B2" s="310" t="s">
        <v>0</v>
      </c>
      <c r="C2" s="313" t="s">
        <v>200</v>
      </c>
      <c r="D2" s="314"/>
      <c r="E2" s="316" t="s">
        <v>199</v>
      </c>
      <c r="F2" s="316"/>
      <c r="G2" s="326" t="s">
        <v>98</v>
      </c>
      <c r="H2" s="325" t="s">
        <v>105</v>
      </c>
    </row>
    <row r="3" spans="1:10" ht="94.5" customHeight="1">
      <c r="A3" s="309"/>
      <c r="B3" s="310"/>
      <c r="C3" s="6" t="s">
        <v>99</v>
      </c>
      <c r="D3" s="7" t="s">
        <v>100</v>
      </c>
      <c r="E3" s="7" t="s">
        <v>99</v>
      </c>
      <c r="F3" s="7" t="s">
        <v>100</v>
      </c>
      <c r="G3" s="327"/>
      <c r="H3" s="325"/>
    </row>
    <row r="4" spans="1:10" ht="27.75" customHeight="1">
      <c r="A4" s="13">
        <v>1</v>
      </c>
      <c r="B4" s="10" t="s">
        <v>13</v>
      </c>
      <c r="C4" s="47">
        <f>Расход!C16</f>
        <v>32</v>
      </c>
      <c r="D4" s="78">
        <f>Расход!D16</f>
        <v>771387.85</v>
      </c>
      <c r="E4" s="75">
        <f>Расход!E16</f>
        <v>32</v>
      </c>
      <c r="F4" s="78">
        <f>Расход!F16</f>
        <v>547483.76</v>
      </c>
      <c r="G4" s="165">
        <f t="shared" ref="G4:G10" si="0">E4/C4*100-100</f>
        <v>0</v>
      </c>
      <c r="H4" s="166">
        <f t="shared" ref="H4:H10" si="1">F4/D4*100-100</f>
        <v>-29.026136462999773</v>
      </c>
      <c r="J4" s="76"/>
    </row>
    <row r="5" spans="1:10" ht="27.75" customHeight="1">
      <c r="A5" s="13">
        <v>2</v>
      </c>
      <c r="B5" s="10" t="s">
        <v>15</v>
      </c>
      <c r="C5" s="47">
        <f>Расход!C18</f>
        <v>136</v>
      </c>
      <c r="D5" s="78">
        <f>Расход!D18</f>
        <v>680440.77</v>
      </c>
      <c r="E5" s="75">
        <f>Расход!E18</f>
        <v>122</v>
      </c>
      <c r="F5" s="78">
        <f>Расход!F18</f>
        <v>521205.49</v>
      </c>
      <c r="G5" s="165">
        <f t="shared" si="0"/>
        <v>-10.294117647058826</v>
      </c>
      <c r="H5" s="166">
        <f t="shared" si="1"/>
        <v>-23.401784111201934</v>
      </c>
    </row>
    <row r="6" spans="1:10" ht="27.75" customHeight="1">
      <c r="A6" s="13">
        <v>3</v>
      </c>
      <c r="B6" s="10" t="s">
        <v>54</v>
      </c>
      <c r="C6" s="47">
        <f>Расход!C63</f>
        <v>286</v>
      </c>
      <c r="D6" s="78">
        <f>Расход!D63</f>
        <v>2470908.65</v>
      </c>
      <c r="E6" s="75">
        <f>Расход!E63</f>
        <v>268</v>
      </c>
      <c r="F6" s="78">
        <f>Расход!F63</f>
        <v>7497533.1600000001</v>
      </c>
      <c r="G6" s="165">
        <f>E6/C6*100-100</f>
        <v>-6.2937062937062933</v>
      </c>
      <c r="H6" s="166">
        <f>F6/D6*100-100</f>
        <v>203.43222765438946</v>
      </c>
    </row>
    <row r="7" spans="1:10" ht="27.75" customHeight="1">
      <c r="A7" s="13">
        <v>4</v>
      </c>
      <c r="B7" s="10" t="s">
        <v>56</v>
      </c>
      <c r="C7" s="47">
        <f>Расход!C65</f>
        <v>274</v>
      </c>
      <c r="D7" s="78">
        <f>Расход!D65</f>
        <v>5651594.8499999996</v>
      </c>
      <c r="E7" s="75">
        <f>Расход!E65</f>
        <v>299</v>
      </c>
      <c r="F7" s="78">
        <f>Расход!F65</f>
        <v>8482946.8299999982</v>
      </c>
      <c r="G7" s="165">
        <f t="shared" si="0"/>
        <v>9.1240875912408796</v>
      </c>
      <c r="H7" s="166">
        <f>F7/D7*100-100</f>
        <v>50.098282965205811</v>
      </c>
    </row>
    <row r="8" spans="1:10" ht="27.75" customHeight="1">
      <c r="A8" s="13">
        <v>5</v>
      </c>
      <c r="B8" s="10" t="s">
        <v>57</v>
      </c>
      <c r="C8" s="47">
        <f>Расход!C66</f>
        <v>207</v>
      </c>
      <c r="D8" s="78">
        <f>Расход!D66</f>
        <v>4149014.63</v>
      </c>
      <c r="E8" s="75">
        <f>Расход!E66</f>
        <v>125</v>
      </c>
      <c r="F8" s="78">
        <f>Расход!F66</f>
        <v>4260575.4000000004</v>
      </c>
      <c r="G8" s="165">
        <f t="shared" si="0"/>
        <v>-39.613526570048307</v>
      </c>
      <c r="H8" s="166">
        <f>F8/D8*100-100</f>
        <v>2.6888497619011815</v>
      </c>
    </row>
    <row r="9" spans="1:10" ht="27.75" customHeight="1">
      <c r="A9" s="13">
        <v>6</v>
      </c>
      <c r="B9" s="10" t="s">
        <v>59</v>
      </c>
      <c r="C9" s="47">
        <f>Расход!C68</f>
        <v>92</v>
      </c>
      <c r="D9" s="78">
        <f>Расход!D68</f>
        <v>647106.35</v>
      </c>
      <c r="E9" s="75">
        <f>Расход!E68</f>
        <v>253</v>
      </c>
      <c r="F9" s="78">
        <f>Расход!F68</f>
        <v>2290283.7000000002</v>
      </c>
      <c r="G9" s="165">
        <f t="shared" si="0"/>
        <v>175</v>
      </c>
      <c r="H9" s="166">
        <f>F9/D9*100-100</f>
        <v>253.92693952083766</v>
      </c>
    </row>
    <row r="10" spans="1:10" ht="27.75" customHeight="1">
      <c r="A10" s="13"/>
      <c r="B10" s="27" t="s">
        <v>111</v>
      </c>
      <c r="C10" s="61">
        <f>SUM(C4:C9)</f>
        <v>1027</v>
      </c>
      <c r="D10" s="62">
        <f>SUM(D4:D9)</f>
        <v>14370453.1</v>
      </c>
      <c r="E10" s="61">
        <f>SUM(E4:E9)</f>
        <v>1099</v>
      </c>
      <c r="F10" s="62">
        <f>SUM(F4:F9)</f>
        <v>23600028.34</v>
      </c>
      <c r="G10" s="174">
        <f t="shared" si="0"/>
        <v>7.0107108081791694</v>
      </c>
      <c r="H10" s="175">
        <f t="shared" si="1"/>
        <v>64.226055892419993</v>
      </c>
    </row>
    <row r="12" spans="1:10" ht="31.5" customHeight="1">
      <c r="B12" s="44"/>
      <c r="C12" s="65"/>
      <c r="D12" s="65"/>
      <c r="E12" s="44"/>
    </row>
    <row r="13" spans="1:10" s="58" customFormat="1" ht="18">
      <c r="A13" s="55"/>
      <c r="B13" s="56" t="s">
        <v>159</v>
      </c>
      <c r="C13" s="295" t="s">
        <v>115</v>
      </c>
      <c r="D13" s="295"/>
      <c r="E13" s="295"/>
      <c r="F13" s="57" t="s">
        <v>160</v>
      </c>
      <c r="G13" s="60"/>
      <c r="H13" s="77"/>
    </row>
    <row r="15" spans="1:10" ht="15.75">
      <c r="C15" s="138"/>
      <c r="D15" s="139"/>
      <c r="E15" s="1"/>
      <c r="F15" s="1"/>
      <c r="G15" s="1"/>
    </row>
    <row r="16" spans="1:10">
      <c r="C16" s="138"/>
      <c r="D16" s="138"/>
      <c r="E16" s="1"/>
      <c r="F16" s="1"/>
      <c r="G16" s="1"/>
    </row>
    <row r="17" spans="3:7">
      <c r="C17" s="138"/>
      <c r="D17" s="138"/>
      <c r="E17" s="1"/>
      <c r="F17" s="1"/>
      <c r="G17" s="1"/>
    </row>
  </sheetData>
  <mergeCells count="8">
    <mergeCell ref="C13:E13"/>
    <mergeCell ref="A1:H1"/>
    <mergeCell ref="H2:H3"/>
    <mergeCell ref="A2:A3"/>
    <mergeCell ref="B2:B3"/>
    <mergeCell ref="C2:D2"/>
    <mergeCell ref="E2:F2"/>
    <mergeCell ref="G2:G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rgb="FFFF0000"/>
    <pageSetUpPr fitToPage="1"/>
  </sheetPr>
  <dimension ref="A1:J92"/>
  <sheetViews>
    <sheetView zoomScale="90" zoomScaleNormal="90" workbookViewId="0">
      <selection activeCell="H18" sqref="H18"/>
    </sheetView>
  </sheetViews>
  <sheetFormatPr defaultRowHeight="12.75"/>
  <cols>
    <col min="1" max="1" width="35.42578125" style="146" bestFit="1" customWidth="1"/>
    <col min="2" max="2" width="22.42578125" style="147" customWidth="1"/>
    <col min="3" max="3" width="30.85546875" customWidth="1"/>
    <col min="4" max="4" width="22.42578125" style="147" customWidth="1"/>
    <col min="5" max="5" width="25.7109375" customWidth="1"/>
    <col min="7" max="7" width="16" customWidth="1"/>
    <col min="9" max="9" width="13.140625" bestFit="1" customWidth="1"/>
  </cols>
  <sheetData>
    <row r="1" spans="1:6">
      <c r="A1" s="328" t="s">
        <v>161</v>
      </c>
      <c r="B1" s="328"/>
      <c r="D1"/>
    </row>
    <row r="2" spans="1:6" ht="12.75" customHeight="1">
      <c r="A2" s="151" t="s">
        <v>69</v>
      </c>
      <c r="B2" s="152">
        <v>180596.72999999998</v>
      </c>
      <c r="C2" s="131" t="s">
        <v>69</v>
      </c>
      <c r="D2" s="152">
        <v>180596.73</v>
      </c>
      <c r="E2" s="176">
        <f>B2-D2</f>
        <v>0</v>
      </c>
    </row>
    <row r="3" spans="1:6" ht="12" customHeight="1">
      <c r="A3" s="151" t="s">
        <v>82</v>
      </c>
      <c r="B3" s="152">
        <v>133897.79</v>
      </c>
      <c r="C3" s="131" t="s">
        <v>82</v>
      </c>
      <c r="D3" s="152">
        <v>133897.79</v>
      </c>
      <c r="E3" s="176">
        <f t="shared" ref="E3:E66" si="0">B3-D3</f>
        <v>0</v>
      </c>
    </row>
    <row r="4" spans="1:6">
      <c r="A4" s="151" t="s">
        <v>20</v>
      </c>
      <c r="B4" s="152">
        <v>701535.41999999993</v>
      </c>
      <c r="C4" s="131" t="s">
        <v>20</v>
      </c>
      <c r="D4" s="152">
        <v>701535.42</v>
      </c>
      <c r="E4" s="176">
        <f t="shared" si="0"/>
        <v>0</v>
      </c>
    </row>
    <row r="5" spans="1:6">
      <c r="A5" s="151" t="s">
        <v>32</v>
      </c>
      <c r="B5" s="152">
        <v>332923.36</v>
      </c>
      <c r="C5" s="131" t="s">
        <v>32</v>
      </c>
      <c r="D5" s="152">
        <v>332923.36</v>
      </c>
      <c r="E5" s="176">
        <f t="shared" si="0"/>
        <v>0</v>
      </c>
    </row>
    <row r="6" spans="1:6">
      <c r="A6" s="184" t="s">
        <v>1</v>
      </c>
      <c r="B6" s="185">
        <v>294551.95</v>
      </c>
      <c r="C6" s="186" t="s">
        <v>1</v>
      </c>
      <c r="D6" s="185">
        <v>296331.69</v>
      </c>
      <c r="E6" s="183">
        <f t="shared" si="0"/>
        <v>-1779.7399999999907</v>
      </c>
      <c r="F6" t="s">
        <v>163</v>
      </c>
    </row>
    <row r="7" spans="1:6">
      <c r="A7" s="151" t="s">
        <v>2</v>
      </c>
      <c r="B7" s="152">
        <v>618146.32999999996</v>
      </c>
      <c r="C7" s="131" t="s">
        <v>2</v>
      </c>
      <c r="D7" s="152">
        <v>618146.32999999996</v>
      </c>
      <c r="E7" s="176">
        <f t="shared" si="0"/>
        <v>0</v>
      </c>
    </row>
    <row r="8" spans="1:6">
      <c r="A8" s="151" t="s">
        <v>3</v>
      </c>
      <c r="B8" s="152">
        <v>571527.89999999991</v>
      </c>
      <c r="C8" s="131" t="s">
        <v>3</v>
      </c>
      <c r="D8" s="152">
        <v>571527.9</v>
      </c>
      <c r="E8" s="176">
        <f t="shared" si="0"/>
        <v>0</v>
      </c>
    </row>
    <row r="9" spans="1:6">
      <c r="A9" s="151" t="s">
        <v>33</v>
      </c>
      <c r="B9" s="152">
        <v>829018</v>
      </c>
      <c r="C9" s="131" t="s">
        <v>33</v>
      </c>
      <c r="D9" s="152">
        <v>829018</v>
      </c>
      <c r="E9" s="176">
        <f t="shared" si="0"/>
        <v>0</v>
      </c>
    </row>
    <row r="10" spans="1:6">
      <c r="A10" s="151" t="s">
        <v>21</v>
      </c>
      <c r="B10" s="152">
        <v>196085.87000000002</v>
      </c>
      <c r="C10" s="131" t="s">
        <v>21</v>
      </c>
      <c r="D10" s="152">
        <v>196085.87</v>
      </c>
      <c r="E10" s="176">
        <f t="shared" si="0"/>
        <v>0</v>
      </c>
    </row>
    <row r="11" spans="1:6">
      <c r="A11" s="151" t="s">
        <v>4</v>
      </c>
      <c r="B11" s="152">
        <v>17547493.969999999</v>
      </c>
      <c r="C11" s="131" t="s">
        <v>4</v>
      </c>
      <c r="D11" s="152">
        <v>17547493.969999999</v>
      </c>
      <c r="E11" s="176">
        <f t="shared" si="0"/>
        <v>0</v>
      </c>
    </row>
    <row r="12" spans="1:6">
      <c r="A12" s="151" t="s">
        <v>162</v>
      </c>
      <c r="B12" s="152">
        <v>0</v>
      </c>
      <c r="C12" s="131" t="s">
        <v>153</v>
      </c>
      <c r="D12" s="152">
        <v>0</v>
      </c>
      <c r="E12" s="176">
        <f t="shared" si="0"/>
        <v>0</v>
      </c>
    </row>
    <row r="13" spans="1:6">
      <c r="A13" s="151" t="s">
        <v>5</v>
      </c>
      <c r="B13" s="152">
        <v>275766911.47999996</v>
      </c>
      <c r="C13" s="131" t="s">
        <v>145</v>
      </c>
      <c r="D13" s="152">
        <v>101890.91</v>
      </c>
      <c r="E13" s="176">
        <f>D13-B15</f>
        <v>0</v>
      </c>
    </row>
    <row r="14" spans="1:6">
      <c r="A14" s="151" t="s">
        <v>22</v>
      </c>
      <c r="B14" s="152">
        <v>37712751.969999999</v>
      </c>
      <c r="C14" s="131" t="s">
        <v>5</v>
      </c>
      <c r="D14" s="152">
        <v>275766911.48000002</v>
      </c>
      <c r="E14" s="176">
        <f>D14-B13</f>
        <v>0</v>
      </c>
    </row>
    <row r="15" spans="1:6">
      <c r="A15" s="151" t="s">
        <v>134</v>
      </c>
      <c r="B15" s="152">
        <v>101890.91000000002</v>
      </c>
      <c r="C15" s="186" t="s">
        <v>22</v>
      </c>
      <c r="D15" s="185">
        <v>37914206.969999999</v>
      </c>
      <c r="E15" s="183">
        <f>D15-B14</f>
        <v>201455</v>
      </c>
      <c r="F15" t="s">
        <v>163</v>
      </c>
    </row>
    <row r="16" spans="1:6" ht="25.5">
      <c r="A16" s="151" t="s">
        <v>155</v>
      </c>
      <c r="B16" s="152">
        <v>405296.29999999993</v>
      </c>
      <c r="C16" s="131" t="s">
        <v>148</v>
      </c>
      <c r="D16" s="152">
        <v>405296.3</v>
      </c>
      <c r="E16" s="176">
        <f t="shared" si="0"/>
        <v>0</v>
      </c>
    </row>
    <row r="17" spans="1:6">
      <c r="A17" s="151" t="s">
        <v>83</v>
      </c>
      <c r="B17" s="152">
        <v>1711.45</v>
      </c>
      <c r="C17" s="131" t="s">
        <v>83</v>
      </c>
      <c r="D17" s="152">
        <v>1711.45</v>
      </c>
      <c r="E17" s="176">
        <f t="shared" si="0"/>
        <v>0</v>
      </c>
    </row>
    <row r="18" spans="1:6">
      <c r="A18" s="151" t="s">
        <v>70</v>
      </c>
      <c r="B18" s="152">
        <v>54679.270000000004</v>
      </c>
      <c r="C18" s="131" t="s">
        <v>70</v>
      </c>
      <c r="D18" s="152">
        <v>54679.27</v>
      </c>
      <c r="E18" s="176">
        <f t="shared" si="0"/>
        <v>0</v>
      </c>
    </row>
    <row r="19" spans="1:6">
      <c r="A19" s="151" t="s">
        <v>157</v>
      </c>
      <c r="B19" s="152">
        <v>57031.000000000007</v>
      </c>
      <c r="C19" s="131" t="s">
        <v>150</v>
      </c>
      <c r="D19" s="152">
        <v>57031</v>
      </c>
      <c r="E19" s="176">
        <f t="shared" si="0"/>
        <v>0</v>
      </c>
    </row>
    <row r="20" spans="1:6">
      <c r="A20" s="151" t="s">
        <v>6</v>
      </c>
      <c r="B20" s="152">
        <v>534771.52</v>
      </c>
      <c r="C20" s="131" t="s">
        <v>6</v>
      </c>
      <c r="D20" s="152">
        <v>534771.52</v>
      </c>
      <c r="E20" s="176">
        <f t="shared" si="0"/>
        <v>0</v>
      </c>
    </row>
    <row r="21" spans="1:6">
      <c r="A21" s="184" t="s">
        <v>71</v>
      </c>
      <c r="B21" s="185">
        <v>471527.54</v>
      </c>
      <c r="C21" s="186" t="s">
        <v>71</v>
      </c>
      <c r="D21" s="185">
        <v>471611.81</v>
      </c>
      <c r="E21" s="183">
        <f t="shared" si="0"/>
        <v>-84.270000000018626</v>
      </c>
      <c r="F21" t="s">
        <v>163</v>
      </c>
    </row>
    <row r="22" spans="1:6" ht="25.5">
      <c r="A22" s="151" t="s">
        <v>39</v>
      </c>
      <c r="B22" s="152">
        <v>31692.199999999997</v>
      </c>
      <c r="C22" s="131" t="s">
        <v>39</v>
      </c>
      <c r="D22" s="152">
        <v>31692.2</v>
      </c>
      <c r="E22" s="176">
        <f t="shared" si="0"/>
        <v>0</v>
      </c>
    </row>
    <row r="23" spans="1:6" s="102" customFormat="1">
      <c r="A23" s="151" t="s">
        <v>23</v>
      </c>
      <c r="B23" s="152">
        <v>59278.880000000005</v>
      </c>
      <c r="C23" s="157" t="s">
        <v>23</v>
      </c>
      <c r="D23" s="152">
        <v>59278.879999999997</v>
      </c>
      <c r="E23" s="176">
        <f t="shared" si="0"/>
        <v>0</v>
      </c>
    </row>
    <row r="24" spans="1:6">
      <c r="A24" s="151" t="s">
        <v>7</v>
      </c>
      <c r="B24" s="152">
        <v>2161042.77</v>
      </c>
      <c r="C24" s="131" t="s">
        <v>7</v>
      </c>
      <c r="D24" s="152">
        <v>2161042.77</v>
      </c>
      <c r="E24" s="176">
        <f t="shared" si="0"/>
        <v>0</v>
      </c>
    </row>
    <row r="25" spans="1:6">
      <c r="A25" s="151" t="s">
        <v>84</v>
      </c>
      <c r="B25" s="152">
        <v>121935.38</v>
      </c>
      <c r="C25" s="131" t="s">
        <v>84</v>
      </c>
      <c r="D25" s="152">
        <v>121935.38</v>
      </c>
      <c r="E25" s="176">
        <f t="shared" si="0"/>
        <v>0</v>
      </c>
    </row>
    <row r="26" spans="1:6" ht="25.5">
      <c r="A26" s="151" t="s">
        <v>40</v>
      </c>
      <c r="B26" s="152">
        <v>152743.26999999999</v>
      </c>
      <c r="C26" s="131" t="s">
        <v>40</v>
      </c>
      <c r="D26" s="152">
        <v>152743.26999999999</v>
      </c>
      <c r="E26" s="176">
        <f t="shared" si="0"/>
        <v>0</v>
      </c>
    </row>
    <row r="27" spans="1:6">
      <c r="A27" s="151" t="s">
        <v>72</v>
      </c>
      <c r="B27" s="152">
        <v>113609.07</v>
      </c>
      <c r="C27" s="131" t="s">
        <v>147</v>
      </c>
      <c r="D27" s="152">
        <v>113609.07</v>
      </c>
      <c r="E27" s="176">
        <f t="shared" si="0"/>
        <v>0</v>
      </c>
    </row>
    <row r="28" spans="1:6">
      <c r="A28" s="151" t="s">
        <v>47</v>
      </c>
      <c r="B28" s="152">
        <v>891210</v>
      </c>
      <c r="C28" s="131" t="s">
        <v>47</v>
      </c>
      <c r="D28" s="152">
        <v>891210</v>
      </c>
      <c r="E28" s="176">
        <f t="shared" si="0"/>
        <v>0</v>
      </c>
    </row>
    <row r="29" spans="1:6">
      <c r="A29" s="151" t="s">
        <v>8</v>
      </c>
      <c r="B29" s="152">
        <v>2687089.4699999997</v>
      </c>
      <c r="C29" s="131" t="s">
        <v>8</v>
      </c>
      <c r="D29" s="152">
        <v>2687089.47</v>
      </c>
      <c r="E29" s="176">
        <f t="shared" si="0"/>
        <v>0</v>
      </c>
    </row>
    <row r="30" spans="1:6">
      <c r="A30" s="187" t="s">
        <v>34</v>
      </c>
      <c r="B30" s="185">
        <v>4307890.8899999997</v>
      </c>
      <c r="C30" s="186" t="s">
        <v>34</v>
      </c>
      <c r="D30" s="185">
        <v>4424405.87</v>
      </c>
      <c r="E30" s="183">
        <f t="shared" si="0"/>
        <v>-116514.98000000045</v>
      </c>
      <c r="F30" t="s">
        <v>163</v>
      </c>
    </row>
    <row r="31" spans="1:6">
      <c r="A31" s="151" t="s">
        <v>73</v>
      </c>
      <c r="B31" s="152">
        <v>489955</v>
      </c>
      <c r="C31" s="131" t="s">
        <v>73</v>
      </c>
      <c r="D31" s="152">
        <v>489955</v>
      </c>
      <c r="E31" s="176">
        <f t="shared" si="0"/>
        <v>0</v>
      </c>
    </row>
    <row r="32" spans="1:6">
      <c r="A32" s="151" t="s">
        <v>62</v>
      </c>
      <c r="B32" s="152">
        <v>111638.78000000001</v>
      </c>
      <c r="C32" s="131" t="s">
        <v>62</v>
      </c>
      <c r="D32" s="152">
        <v>111638.78</v>
      </c>
      <c r="E32" s="176">
        <f t="shared" si="0"/>
        <v>0</v>
      </c>
    </row>
    <row r="33" spans="1:10">
      <c r="A33" s="158" t="s">
        <v>9</v>
      </c>
      <c r="B33" s="152">
        <v>119734.34000000003</v>
      </c>
      <c r="C33" s="131" t="s">
        <v>9</v>
      </c>
      <c r="D33" s="152">
        <v>119734.34</v>
      </c>
      <c r="E33" s="176">
        <f t="shared" si="0"/>
        <v>0</v>
      </c>
    </row>
    <row r="34" spans="1:10">
      <c r="A34" s="151" t="s">
        <v>24</v>
      </c>
      <c r="B34" s="152">
        <v>1205051.67</v>
      </c>
      <c r="C34" s="131" t="s">
        <v>24</v>
      </c>
      <c r="D34" s="152">
        <v>1205051.67</v>
      </c>
      <c r="E34" s="176">
        <f t="shared" si="0"/>
        <v>0</v>
      </c>
    </row>
    <row r="35" spans="1:10">
      <c r="A35" s="151" t="s">
        <v>10</v>
      </c>
      <c r="B35" s="152">
        <v>803293.32000000007</v>
      </c>
      <c r="C35" s="131" t="s">
        <v>10</v>
      </c>
      <c r="D35" s="152">
        <v>803293.32</v>
      </c>
      <c r="E35" s="176">
        <f t="shared" si="0"/>
        <v>0</v>
      </c>
    </row>
    <row r="36" spans="1:10" ht="25.5">
      <c r="A36" s="151" t="s">
        <v>156</v>
      </c>
      <c r="B36" s="152">
        <v>29208.3</v>
      </c>
      <c r="C36" s="131" t="s">
        <v>149</v>
      </c>
      <c r="D36" s="152">
        <v>29208.3</v>
      </c>
      <c r="E36" s="176">
        <f t="shared" si="0"/>
        <v>0</v>
      </c>
    </row>
    <row r="37" spans="1:10">
      <c r="A37" s="151" t="s">
        <v>85</v>
      </c>
      <c r="B37" s="152">
        <v>247952.27999999997</v>
      </c>
      <c r="C37" s="131" t="s">
        <v>85</v>
      </c>
      <c r="D37" s="152">
        <v>247952.28</v>
      </c>
      <c r="E37" s="176">
        <f t="shared" si="0"/>
        <v>0</v>
      </c>
    </row>
    <row r="38" spans="1:10">
      <c r="A38" s="184" t="s">
        <v>11</v>
      </c>
      <c r="B38" s="185">
        <v>94778339.75</v>
      </c>
      <c r="C38" s="186" t="s">
        <v>11</v>
      </c>
      <c r="D38" s="185">
        <v>95281620</v>
      </c>
      <c r="E38" s="183">
        <f t="shared" si="0"/>
        <v>-503280.25</v>
      </c>
      <c r="G38" s="183">
        <v>498449</v>
      </c>
      <c r="H38" t="s">
        <v>164</v>
      </c>
      <c r="I38" s="176">
        <f>E38+G38</f>
        <v>-4831.25</v>
      </c>
      <c r="J38" t="s">
        <v>165</v>
      </c>
    </row>
    <row r="39" spans="1:10">
      <c r="A39" s="151" t="s">
        <v>25</v>
      </c>
      <c r="B39" s="152">
        <v>712663.86</v>
      </c>
      <c r="C39" s="131" t="s">
        <v>25</v>
      </c>
      <c r="D39" s="152">
        <v>712663.86</v>
      </c>
      <c r="E39" s="176">
        <f t="shared" si="0"/>
        <v>0</v>
      </c>
    </row>
    <row r="40" spans="1:10">
      <c r="A40" s="151" t="s">
        <v>26</v>
      </c>
      <c r="B40" s="152">
        <v>16823</v>
      </c>
      <c r="C40" s="131" t="s">
        <v>26</v>
      </c>
      <c r="D40" s="152">
        <v>16823</v>
      </c>
      <c r="E40" s="176">
        <f t="shared" si="0"/>
        <v>0</v>
      </c>
    </row>
    <row r="41" spans="1:10">
      <c r="A41" s="184" t="s">
        <v>48</v>
      </c>
      <c r="B41" s="185">
        <v>3185411.9099999997</v>
      </c>
      <c r="C41" s="186" t="s">
        <v>48</v>
      </c>
      <c r="D41" s="185">
        <v>3186219.54</v>
      </c>
      <c r="E41" s="183">
        <f t="shared" si="0"/>
        <v>-807.6300000003539</v>
      </c>
      <c r="F41" t="s">
        <v>163</v>
      </c>
    </row>
    <row r="42" spans="1:10">
      <c r="A42" s="151" t="s">
        <v>27</v>
      </c>
      <c r="B42" s="152">
        <v>9903</v>
      </c>
      <c r="C42" s="131" t="s">
        <v>27</v>
      </c>
      <c r="D42" s="152">
        <v>9903</v>
      </c>
      <c r="E42" s="176">
        <f t="shared" si="0"/>
        <v>0</v>
      </c>
    </row>
    <row r="43" spans="1:10">
      <c r="A43" s="151" t="s">
        <v>74</v>
      </c>
      <c r="B43" s="152">
        <v>212347.04999999996</v>
      </c>
      <c r="C43" s="131" t="s">
        <v>74</v>
      </c>
      <c r="D43" s="152">
        <v>212347.05</v>
      </c>
      <c r="E43" s="176">
        <f t="shared" si="0"/>
        <v>0</v>
      </c>
    </row>
    <row r="44" spans="1:10">
      <c r="A44" s="151" t="s">
        <v>75</v>
      </c>
      <c r="B44" s="152">
        <v>37334.1</v>
      </c>
      <c r="C44" s="131" t="s">
        <v>75</v>
      </c>
      <c r="D44" s="152">
        <v>37334.1</v>
      </c>
      <c r="E44" s="176">
        <f t="shared" si="0"/>
        <v>0</v>
      </c>
    </row>
    <row r="45" spans="1:10">
      <c r="A45" s="151" t="s">
        <v>49</v>
      </c>
      <c r="B45" s="152">
        <v>469817.85</v>
      </c>
      <c r="C45" s="131" t="s">
        <v>49</v>
      </c>
      <c r="D45" s="152">
        <v>469817.85</v>
      </c>
      <c r="E45" s="176">
        <f t="shared" si="0"/>
        <v>0</v>
      </c>
    </row>
    <row r="46" spans="1:10">
      <c r="A46" s="151" t="s">
        <v>12</v>
      </c>
      <c r="B46" s="152">
        <v>137833.47</v>
      </c>
      <c r="C46" s="131" t="s">
        <v>12</v>
      </c>
      <c r="D46" s="152">
        <v>137833.47</v>
      </c>
      <c r="E46" s="176">
        <f t="shared" si="0"/>
        <v>0</v>
      </c>
    </row>
    <row r="47" spans="1:10">
      <c r="A47" s="151" t="s">
        <v>50</v>
      </c>
      <c r="B47" s="152">
        <v>0</v>
      </c>
      <c r="C47" s="131" t="s">
        <v>50</v>
      </c>
      <c r="D47" s="152">
        <v>0</v>
      </c>
      <c r="E47" s="176">
        <f t="shared" si="0"/>
        <v>0</v>
      </c>
    </row>
    <row r="48" spans="1:10">
      <c r="A48" s="151" t="s">
        <v>51</v>
      </c>
      <c r="B48" s="152">
        <v>638194.86</v>
      </c>
      <c r="C48" s="131" t="s">
        <v>51</v>
      </c>
      <c r="D48" s="152">
        <v>638194.86</v>
      </c>
      <c r="E48" s="176">
        <f t="shared" si="0"/>
        <v>0</v>
      </c>
    </row>
    <row r="49" spans="1:5">
      <c r="A49" s="151" t="s">
        <v>86</v>
      </c>
      <c r="B49" s="152">
        <v>26170.23</v>
      </c>
      <c r="C49" s="131" t="s">
        <v>86</v>
      </c>
      <c r="D49" s="152">
        <v>26170.23</v>
      </c>
      <c r="E49" s="176">
        <f t="shared" si="0"/>
        <v>0</v>
      </c>
    </row>
    <row r="50" spans="1:5">
      <c r="A50" s="151" t="s">
        <v>28</v>
      </c>
      <c r="B50" s="152">
        <v>11552.6</v>
      </c>
      <c r="C50" s="131" t="s">
        <v>28</v>
      </c>
      <c r="D50" s="152">
        <v>11552.6</v>
      </c>
      <c r="E50" s="176">
        <f t="shared" si="0"/>
        <v>0</v>
      </c>
    </row>
    <row r="51" spans="1:5">
      <c r="A51" s="151" t="s">
        <v>35</v>
      </c>
      <c r="B51" s="152">
        <v>141147.79</v>
      </c>
      <c r="C51" s="131" t="s">
        <v>143</v>
      </c>
      <c r="D51" s="152">
        <v>141147.79</v>
      </c>
      <c r="E51" s="176">
        <f t="shared" si="0"/>
        <v>0</v>
      </c>
    </row>
    <row r="52" spans="1:5">
      <c r="A52" s="151" t="s">
        <v>52</v>
      </c>
      <c r="B52" s="152">
        <v>485465.95</v>
      </c>
      <c r="C52" s="131" t="s">
        <v>146</v>
      </c>
      <c r="D52" s="152">
        <v>19653.419999999998</v>
      </c>
      <c r="E52" s="176">
        <f>D52-B54</f>
        <v>0</v>
      </c>
    </row>
    <row r="53" spans="1:5">
      <c r="A53" s="151" t="s">
        <v>77</v>
      </c>
      <c r="B53" s="152">
        <v>2543.92</v>
      </c>
      <c r="C53" s="131" t="s">
        <v>52</v>
      </c>
      <c r="D53" s="152">
        <v>485465.95</v>
      </c>
      <c r="E53" s="176">
        <f>D53-B52</f>
        <v>0</v>
      </c>
    </row>
    <row r="54" spans="1:5">
      <c r="A54" s="151" t="s">
        <v>76</v>
      </c>
      <c r="B54" s="152">
        <v>19653.420000000002</v>
      </c>
      <c r="C54" s="131" t="s">
        <v>77</v>
      </c>
      <c r="D54" s="152">
        <v>2543.92</v>
      </c>
      <c r="E54" s="176">
        <f>D54-B53</f>
        <v>0</v>
      </c>
    </row>
    <row r="55" spans="1:5">
      <c r="A55" s="151" t="s">
        <v>41</v>
      </c>
      <c r="B55" s="152">
        <v>628933.21000000008</v>
      </c>
      <c r="C55" s="131" t="s">
        <v>41</v>
      </c>
      <c r="D55" s="152">
        <v>628933.21</v>
      </c>
      <c r="E55" s="176">
        <f t="shared" si="0"/>
        <v>0</v>
      </c>
    </row>
    <row r="56" spans="1:5">
      <c r="A56" s="151" t="s">
        <v>42</v>
      </c>
      <c r="B56" s="152">
        <v>107866.81</v>
      </c>
      <c r="C56" s="131" t="s">
        <v>42</v>
      </c>
      <c r="D56" s="152">
        <v>107866.81</v>
      </c>
      <c r="E56" s="176">
        <f t="shared" si="0"/>
        <v>0</v>
      </c>
    </row>
    <row r="57" spans="1:5">
      <c r="A57" s="151" t="s">
        <v>36</v>
      </c>
      <c r="B57" s="152">
        <v>19085.560000000001</v>
      </c>
      <c r="C57" s="131" t="s">
        <v>36</v>
      </c>
      <c r="D57" s="152">
        <v>19085.560000000001</v>
      </c>
      <c r="E57" s="176">
        <f t="shared" si="0"/>
        <v>0</v>
      </c>
    </row>
    <row r="58" spans="1:5">
      <c r="A58" s="151" t="s">
        <v>29</v>
      </c>
      <c r="B58" s="152">
        <v>99059.47</v>
      </c>
      <c r="C58" s="131" t="s">
        <v>29</v>
      </c>
      <c r="D58" s="152">
        <v>99059.47</v>
      </c>
      <c r="E58" s="176">
        <f t="shared" si="0"/>
        <v>0</v>
      </c>
    </row>
    <row r="59" spans="1:5">
      <c r="A59" s="151" t="s">
        <v>30</v>
      </c>
      <c r="B59" s="152">
        <v>588127.57000000007</v>
      </c>
      <c r="C59" s="131" t="s">
        <v>30</v>
      </c>
      <c r="D59" s="152">
        <v>588127.56999999995</v>
      </c>
      <c r="E59" s="176">
        <f t="shared" si="0"/>
        <v>0</v>
      </c>
    </row>
    <row r="60" spans="1:5">
      <c r="A60" s="151" t="s">
        <v>102</v>
      </c>
      <c r="B60" s="152">
        <v>519848.45</v>
      </c>
      <c r="C60" s="131" t="s">
        <v>144</v>
      </c>
      <c r="D60" s="152">
        <v>519848.45</v>
      </c>
      <c r="E60" s="176">
        <f t="shared" si="0"/>
        <v>0</v>
      </c>
    </row>
    <row r="61" spans="1:5">
      <c r="A61" s="151" t="s">
        <v>53</v>
      </c>
      <c r="B61" s="152">
        <v>121864.73999999999</v>
      </c>
      <c r="C61" s="131" t="s">
        <v>53</v>
      </c>
      <c r="D61" s="152">
        <v>121864.74</v>
      </c>
      <c r="E61" s="176">
        <f t="shared" si="0"/>
        <v>0</v>
      </c>
    </row>
    <row r="62" spans="1:5">
      <c r="A62" s="151" t="s">
        <v>54</v>
      </c>
      <c r="B62" s="152">
        <v>9975902.25</v>
      </c>
      <c r="C62" s="131" t="s">
        <v>54</v>
      </c>
      <c r="D62" s="152">
        <v>9975902.25</v>
      </c>
      <c r="E62" s="176">
        <f t="shared" si="0"/>
        <v>0</v>
      </c>
    </row>
    <row r="63" spans="1:5" s="102" customFormat="1">
      <c r="A63" s="151" t="s">
        <v>87</v>
      </c>
      <c r="B63" s="152">
        <v>260483.69</v>
      </c>
      <c r="C63" s="157" t="s">
        <v>87</v>
      </c>
      <c r="D63" s="152">
        <v>260483.69</v>
      </c>
      <c r="E63" s="176">
        <f t="shared" si="0"/>
        <v>0</v>
      </c>
    </row>
    <row r="64" spans="1:5" ht="25.5">
      <c r="A64" s="151" t="s">
        <v>43</v>
      </c>
      <c r="B64" s="152">
        <v>294291.51</v>
      </c>
      <c r="C64" s="131" t="s">
        <v>43</v>
      </c>
      <c r="D64" s="152">
        <v>294291.51</v>
      </c>
      <c r="E64" s="176">
        <f t="shared" si="0"/>
        <v>0</v>
      </c>
    </row>
    <row r="65" spans="1:6">
      <c r="A65" s="151" t="s">
        <v>55</v>
      </c>
      <c r="B65" s="152">
        <v>3326231.74</v>
      </c>
      <c r="C65" s="131" t="s">
        <v>55</v>
      </c>
      <c r="D65" s="152">
        <v>3326231.74</v>
      </c>
      <c r="E65" s="176">
        <f t="shared" si="0"/>
        <v>0</v>
      </c>
    </row>
    <row r="66" spans="1:6">
      <c r="A66" s="151" t="s">
        <v>78</v>
      </c>
      <c r="B66" s="152">
        <v>0</v>
      </c>
      <c r="C66" s="131" t="s">
        <v>78</v>
      </c>
      <c r="D66" s="152">
        <v>0</v>
      </c>
      <c r="E66" s="176">
        <f t="shared" si="0"/>
        <v>0</v>
      </c>
    </row>
    <row r="67" spans="1:6">
      <c r="A67" s="151" t="s">
        <v>79</v>
      </c>
      <c r="B67" s="152">
        <v>0</v>
      </c>
      <c r="C67" s="131" t="s">
        <v>79</v>
      </c>
      <c r="D67" s="152">
        <v>0</v>
      </c>
      <c r="E67" s="176">
        <f t="shared" ref="E67:E91" si="1">B67-D67</f>
        <v>0</v>
      </c>
    </row>
    <row r="68" spans="1:6">
      <c r="A68" s="184" t="s">
        <v>37</v>
      </c>
      <c r="B68" s="185">
        <v>1158029.6299999999</v>
      </c>
      <c r="C68" s="186" t="s">
        <v>37</v>
      </c>
      <c r="D68" s="185">
        <v>1160345.76</v>
      </c>
      <c r="E68" s="183">
        <f t="shared" si="1"/>
        <v>-2316.1300000001211</v>
      </c>
      <c r="F68" t="s">
        <v>163</v>
      </c>
    </row>
    <row r="69" spans="1:6">
      <c r="A69" s="151" t="s">
        <v>13</v>
      </c>
      <c r="B69" s="152">
        <v>1551792.85</v>
      </c>
      <c r="C69" s="131" t="s">
        <v>13</v>
      </c>
      <c r="D69" s="152">
        <v>1551792.85</v>
      </c>
      <c r="E69" s="176">
        <f t="shared" si="1"/>
        <v>0</v>
      </c>
    </row>
    <row r="70" spans="1:6">
      <c r="A70" s="158" t="s">
        <v>56</v>
      </c>
      <c r="B70" s="152">
        <v>23902990.969999999</v>
      </c>
      <c r="C70" s="131" t="s">
        <v>56</v>
      </c>
      <c r="D70" s="152">
        <v>23902990.969999999</v>
      </c>
      <c r="E70" s="176">
        <f t="shared" si="1"/>
        <v>0</v>
      </c>
    </row>
    <row r="71" spans="1:6">
      <c r="A71" s="184" t="s">
        <v>57</v>
      </c>
      <c r="B71" s="185">
        <v>9535942.0300000012</v>
      </c>
      <c r="C71" s="186" t="s">
        <v>57</v>
      </c>
      <c r="D71" s="185">
        <v>9539981.0299999993</v>
      </c>
      <c r="E71" s="183">
        <f t="shared" si="1"/>
        <v>-4038.9999999981374</v>
      </c>
      <c r="F71" t="s">
        <v>163</v>
      </c>
    </row>
    <row r="72" spans="1:6">
      <c r="A72" s="151" t="s">
        <v>88</v>
      </c>
      <c r="B72" s="152">
        <v>64891</v>
      </c>
      <c r="C72" s="131" t="s">
        <v>88</v>
      </c>
      <c r="D72" s="152">
        <v>64891</v>
      </c>
      <c r="E72" s="176">
        <f t="shared" si="1"/>
        <v>0</v>
      </c>
    </row>
    <row r="73" spans="1:6">
      <c r="A73" s="184" t="s">
        <v>63</v>
      </c>
      <c r="B73" s="185">
        <v>1099185.57</v>
      </c>
      <c r="C73" s="186" t="s">
        <v>63</v>
      </c>
      <c r="D73" s="185">
        <v>1099752.57</v>
      </c>
      <c r="E73" s="183">
        <f t="shared" si="1"/>
        <v>-567</v>
      </c>
      <c r="F73" t="s">
        <v>163</v>
      </c>
    </row>
    <row r="74" spans="1:6" s="192" customFormat="1">
      <c r="A74" s="188" t="s">
        <v>14</v>
      </c>
      <c r="B74" s="189">
        <v>138284.69</v>
      </c>
      <c r="C74" s="190" t="s">
        <v>14</v>
      </c>
      <c r="D74" s="189">
        <v>138284.69</v>
      </c>
      <c r="E74" s="191">
        <f t="shared" si="1"/>
        <v>0</v>
      </c>
    </row>
    <row r="75" spans="1:6">
      <c r="A75" s="151" t="s">
        <v>44</v>
      </c>
      <c r="B75" s="152">
        <v>1270716.54</v>
      </c>
      <c r="C75" s="131" t="s">
        <v>44</v>
      </c>
      <c r="D75" s="152">
        <v>1270716.54</v>
      </c>
      <c r="E75" s="176">
        <f t="shared" si="1"/>
        <v>0</v>
      </c>
    </row>
    <row r="76" spans="1:6" s="102" customFormat="1">
      <c r="A76" s="151" t="s">
        <v>15</v>
      </c>
      <c r="B76" s="152">
        <v>2323443.6599999997</v>
      </c>
      <c r="C76" s="157" t="s">
        <v>15</v>
      </c>
      <c r="D76" s="152">
        <v>2323443.66</v>
      </c>
      <c r="E76" s="176">
        <f t="shared" si="1"/>
        <v>0</v>
      </c>
    </row>
    <row r="77" spans="1:6">
      <c r="A77" s="151" t="s">
        <v>16</v>
      </c>
      <c r="B77" s="152">
        <v>559127.78</v>
      </c>
      <c r="C77" s="131" t="s">
        <v>16</v>
      </c>
      <c r="D77" s="152">
        <v>559127.78</v>
      </c>
      <c r="E77" s="176">
        <f t="shared" si="1"/>
        <v>0</v>
      </c>
    </row>
    <row r="78" spans="1:6">
      <c r="A78" s="151" t="s">
        <v>80</v>
      </c>
      <c r="B78" s="152">
        <v>61284.409999999996</v>
      </c>
      <c r="C78" s="131" t="s">
        <v>80</v>
      </c>
      <c r="D78" s="152">
        <v>61284.41</v>
      </c>
      <c r="E78" s="176">
        <f t="shared" si="1"/>
        <v>0</v>
      </c>
    </row>
    <row r="79" spans="1:6">
      <c r="A79" s="151" t="s">
        <v>17</v>
      </c>
      <c r="B79" s="152">
        <v>1103198.5899999999</v>
      </c>
      <c r="C79" s="131" t="s">
        <v>17</v>
      </c>
      <c r="D79" s="152">
        <v>1103198.5900000001</v>
      </c>
      <c r="E79" s="176">
        <f t="shared" si="1"/>
        <v>0</v>
      </c>
    </row>
    <row r="80" spans="1:6">
      <c r="A80" s="151" t="s">
        <v>64</v>
      </c>
      <c r="B80" s="152">
        <v>205015.41</v>
      </c>
      <c r="C80" s="131" t="s">
        <v>64</v>
      </c>
      <c r="D80" s="152">
        <v>205015.41</v>
      </c>
      <c r="E80" s="176">
        <f t="shared" si="1"/>
        <v>0</v>
      </c>
    </row>
    <row r="81" spans="1:6">
      <c r="A81" s="151" t="s">
        <v>58</v>
      </c>
      <c r="B81" s="152">
        <v>1487290.8900000001</v>
      </c>
      <c r="C81" s="131" t="s">
        <v>58</v>
      </c>
      <c r="D81" s="152">
        <v>1487290.89</v>
      </c>
      <c r="E81" s="176">
        <f t="shared" si="1"/>
        <v>0</v>
      </c>
    </row>
    <row r="82" spans="1:6">
      <c r="A82" s="184" t="s">
        <v>59</v>
      </c>
      <c r="B82" s="185">
        <v>3882087.0199999996</v>
      </c>
      <c r="C82" s="186" t="s">
        <v>59</v>
      </c>
      <c r="D82" s="185">
        <v>3882479.3</v>
      </c>
      <c r="E82" s="183">
        <f t="shared" si="1"/>
        <v>-392.28000000026077</v>
      </c>
      <c r="F82" t="s">
        <v>163</v>
      </c>
    </row>
    <row r="83" spans="1:6">
      <c r="A83" s="151" t="s">
        <v>89</v>
      </c>
      <c r="B83" s="152">
        <v>18444.32</v>
      </c>
      <c r="C83" s="131" t="s">
        <v>89</v>
      </c>
      <c r="D83" s="152">
        <v>18444.32</v>
      </c>
      <c r="E83" s="176">
        <f t="shared" si="1"/>
        <v>0</v>
      </c>
    </row>
    <row r="84" spans="1:6">
      <c r="A84" s="151" t="s">
        <v>65</v>
      </c>
      <c r="B84" s="152">
        <v>1224856.0699999998</v>
      </c>
      <c r="C84" s="131" t="s">
        <v>65</v>
      </c>
      <c r="D84" s="152">
        <v>1224856.07</v>
      </c>
      <c r="E84" s="176">
        <f t="shared" si="1"/>
        <v>0</v>
      </c>
    </row>
    <row r="85" spans="1:6">
      <c r="A85" s="151" t="s">
        <v>158</v>
      </c>
      <c r="B85" s="152">
        <v>0</v>
      </c>
      <c r="C85" s="131" t="s">
        <v>151</v>
      </c>
      <c r="D85" s="152">
        <v>0</v>
      </c>
      <c r="E85" s="176">
        <f t="shared" si="1"/>
        <v>0</v>
      </c>
    </row>
    <row r="86" spans="1:6">
      <c r="A86" s="151" t="s">
        <v>66</v>
      </c>
      <c r="B86" s="152">
        <v>309859.56</v>
      </c>
      <c r="C86" s="131" t="s">
        <v>66</v>
      </c>
      <c r="D86" s="152">
        <v>309859.56</v>
      </c>
      <c r="E86" s="176">
        <f t="shared" si="1"/>
        <v>0</v>
      </c>
    </row>
    <row r="87" spans="1:6">
      <c r="A87" s="151" t="s">
        <v>45</v>
      </c>
      <c r="B87" s="152">
        <v>2305252.16</v>
      </c>
      <c r="C87" s="131" t="s">
        <v>45</v>
      </c>
      <c r="D87" s="152">
        <v>2305252.16</v>
      </c>
      <c r="E87" s="176">
        <f t="shared" si="1"/>
        <v>0</v>
      </c>
    </row>
    <row r="88" spans="1:6">
      <c r="A88" s="184" t="s">
        <v>60</v>
      </c>
      <c r="B88" s="185">
        <v>364113.29</v>
      </c>
      <c r="C88" s="186" t="s">
        <v>60</v>
      </c>
      <c r="D88" s="185">
        <v>368985.32</v>
      </c>
      <c r="E88" s="183">
        <f t="shared" si="1"/>
        <v>-4872.0300000000279</v>
      </c>
      <c r="F88" t="s">
        <v>163</v>
      </c>
    </row>
    <row r="89" spans="1:6">
      <c r="A89" s="151" t="s">
        <v>90</v>
      </c>
      <c r="B89" s="152">
        <v>572655.33000000007</v>
      </c>
      <c r="C89" s="131" t="s">
        <v>90</v>
      </c>
      <c r="D89" s="152">
        <v>572655.32999999996</v>
      </c>
      <c r="E89" s="176">
        <f t="shared" si="1"/>
        <v>0</v>
      </c>
    </row>
    <row r="90" spans="1:6">
      <c r="A90" s="151" t="s">
        <v>67</v>
      </c>
      <c r="B90" s="152">
        <v>707951.5</v>
      </c>
      <c r="C90" s="131" t="s">
        <v>67</v>
      </c>
      <c r="D90" s="152">
        <v>707951.5</v>
      </c>
      <c r="E90" s="176">
        <f t="shared" si="1"/>
        <v>0</v>
      </c>
    </row>
    <row r="91" spans="1:6">
      <c r="A91" s="151" t="s">
        <v>18</v>
      </c>
      <c r="B91" s="152">
        <v>280192.70999999996</v>
      </c>
      <c r="C91" s="131" t="s">
        <v>18</v>
      </c>
      <c r="D91" s="152">
        <v>280192.71000000002</v>
      </c>
      <c r="E91" s="176">
        <f t="shared" si="1"/>
        <v>0</v>
      </c>
    </row>
    <row r="92" spans="1:6">
      <c r="B92" s="182">
        <f>SUM(B2:B91)</f>
        <v>520999178.12000012</v>
      </c>
      <c r="D92" s="182">
        <f>SUM(D2:D91)</f>
        <v>521835286.43000013</v>
      </c>
    </row>
  </sheetData>
  <mergeCells count="1">
    <mergeCell ref="A1:B1"/>
  </mergeCells>
  <pageMargins left="0.19685039370078741" right="0.19685039370078741" top="0.27559055118110237" bottom="0.19685039370078741" header="0.15748031496062992" footer="0.15748031496062992"/>
  <pageSetup paperSize="9" scale="3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1"/>
  <dimension ref="A1:E102"/>
  <sheetViews>
    <sheetView topLeftCell="A61" workbookViewId="0">
      <selection activeCell="E102" sqref="E102"/>
    </sheetView>
  </sheetViews>
  <sheetFormatPr defaultRowHeight="12.75"/>
  <cols>
    <col min="3" max="3" width="43.140625" bestFit="1" customWidth="1"/>
    <col min="4" max="4" width="26.85546875" bestFit="1" customWidth="1"/>
    <col min="5" max="5" width="14.7109375" bestFit="1" customWidth="1"/>
  </cols>
  <sheetData>
    <row r="1" spans="1:5">
      <c r="A1" t="s">
        <v>139</v>
      </c>
      <c r="B1" t="s">
        <v>140</v>
      </c>
      <c r="C1" t="s">
        <v>0</v>
      </c>
      <c r="D1" t="s">
        <v>141</v>
      </c>
      <c r="E1" t="s">
        <v>142</v>
      </c>
    </row>
    <row r="2" spans="1:5">
      <c r="A2">
        <v>1</v>
      </c>
      <c r="B2">
        <v>31</v>
      </c>
      <c r="C2" t="s">
        <v>1</v>
      </c>
      <c r="D2">
        <v>12</v>
      </c>
      <c r="E2">
        <v>173193.37</v>
      </c>
    </row>
    <row r="3" spans="1:5">
      <c r="A3">
        <v>2</v>
      </c>
      <c r="B3">
        <v>32</v>
      </c>
      <c r="C3" t="s">
        <v>2</v>
      </c>
      <c r="D3">
        <v>4</v>
      </c>
      <c r="E3">
        <v>26987.55</v>
      </c>
    </row>
    <row r="4" spans="1:5">
      <c r="A4">
        <v>3</v>
      </c>
      <c r="B4">
        <v>33</v>
      </c>
      <c r="C4" t="s">
        <v>3</v>
      </c>
      <c r="D4">
        <v>27</v>
      </c>
      <c r="E4">
        <v>89538.11</v>
      </c>
    </row>
    <row r="5" spans="1:5">
      <c r="A5">
        <v>4</v>
      </c>
      <c r="B5">
        <v>36</v>
      </c>
      <c r="C5" t="s">
        <v>4</v>
      </c>
      <c r="D5">
        <v>135</v>
      </c>
      <c r="E5">
        <v>3864895.69</v>
      </c>
    </row>
    <row r="6" spans="1:5">
      <c r="A6">
        <v>5</v>
      </c>
      <c r="B6">
        <v>37</v>
      </c>
      <c r="C6" t="s">
        <v>6</v>
      </c>
      <c r="D6">
        <v>4</v>
      </c>
      <c r="E6">
        <v>60939.94</v>
      </c>
    </row>
    <row r="7" spans="1:5">
      <c r="A7">
        <v>6</v>
      </c>
      <c r="B7">
        <v>40</v>
      </c>
      <c r="C7" t="s">
        <v>7</v>
      </c>
      <c r="D7">
        <v>31</v>
      </c>
      <c r="E7">
        <v>498292.35</v>
      </c>
    </row>
    <row r="8" spans="1:5">
      <c r="A8">
        <v>7</v>
      </c>
      <c r="B8">
        <v>44</v>
      </c>
      <c r="C8" t="s">
        <v>8</v>
      </c>
      <c r="D8">
        <v>2</v>
      </c>
      <c r="E8">
        <v>160475.4</v>
      </c>
    </row>
    <row r="9" spans="1:5">
      <c r="A9">
        <v>8</v>
      </c>
      <c r="B9">
        <v>46</v>
      </c>
      <c r="C9" t="s">
        <v>9</v>
      </c>
      <c r="D9">
        <v>2</v>
      </c>
      <c r="E9">
        <v>2177.0700000000002</v>
      </c>
    </row>
    <row r="10" spans="1:5">
      <c r="A10">
        <v>9</v>
      </c>
      <c r="B10">
        <v>48</v>
      </c>
      <c r="C10" t="s">
        <v>10</v>
      </c>
      <c r="D10">
        <v>19</v>
      </c>
      <c r="E10">
        <v>981963.63</v>
      </c>
    </row>
    <row r="11" spans="1:5">
      <c r="A11">
        <v>10</v>
      </c>
      <c r="B11">
        <v>50</v>
      </c>
      <c r="C11" t="s">
        <v>11</v>
      </c>
      <c r="D11">
        <v>488</v>
      </c>
      <c r="E11">
        <v>7275587</v>
      </c>
    </row>
    <row r="12" spans="1:5">
      <c r="A12">
        <v>11</v>
      </c>
      <c r="B12">
        <v>57</v>
      </c>
      <c r="C12" t="s">
        <v>12</v>
      </c>
      <c r="D12">
        <v>8</v>
      </c>
      <c r="E12">
        <v>12830.11</v>
      </c>
    </row>
    <row r="13" spans="1:5">
      <c r="A13">
        <v>12</v>
      </c>
      <c r="B13">
        <v>62</v>
      </c>
      <c r="C13" t="s">
        <v>13</v>
      </c>
      <c r="D13">
        <v>18</v>
      </c>
      <c r="E13">
        <v>97045.21</v>
      </c>
    </row>
    <row r="14" spans="1:5">
      <c r="A14">
        <v>13</v>
      </c>
      <c r="B14">
        <v>67</v>
      </c>
      <c r="C14" t="s">
        <v>14</v>
      </c>
      <c r="D14">
        <v>3</v>
      </c>
      <c r="E14">
        <v>3338.4</v>
      </c>
    </row>
    <row r="15" spans="1:5">
      <c r="A15">
        <v>14</v>
      </c>
      <c r="B15">
        <v>68</v>
      </c>
      <c r="C15" t="s">
        <v>15</v>
      </c>
      <c r="D15">
        <v>238</v>
      </c>
      <c r="E15">
        <v>3003866.82</v>
      </c>
    </row>
    <row r="16" spans="1:5">
      <c r="A16">
        <v>15</v>
      </c>
      <c r="B16">
        <v>69</v>
      </c>
      <c r="C16" t="s">
        <v>16</v>
      </c>
      <c r="D16">
        <v>27</v>
      </c>
      <c r="E16">
        <v>68102.44</v>
      </c>
    </row>
    <row r="17" spans="1:5">
      <c r="A17">
        <v>16</v>
      </c>
      <c r="B17">
        <v>71</v>
      </c>
      <c r="C17" t="s">
        <v>17</v>
      </c>
      <c r="D17">
        <v>31</v>
      </c>
      <c r="E17">
        <v>75380.67</v>
      </c>
    </row>
    <row r="18" spans="1:5">
      <c r="A18">
        <v>17</v>
      </c>
      <c r="B18">
        <v>76</v>
      </c>
      <c r="C18" t="s">
        <v>18</v>
      </c>
      <c r="D18">
        <v>8</v>
      </c>
      <c r="E18">
        <v>47183.76</v>
      </c>
    </row>
    <row r="19" spans="1:5">
      <c r="A19">
        <v>18</v>
      </c>
      <c r="B19">
        <v>77</v>
      </c>
      <c r="C19" t="s">
        <v>5</v>
      </c>
      <c r="D19">
        <v>854</v>
      </c>
      <c r="E19">
        <v>22453627.100000001</v>
      </c>
    </row>
    <row r="20" spans="1:5">
      <c r="C20" t="s">
        <v>19</v>
      </c>
      <c r="D20">
        <v>1911</v>
      </c>
      <c r="E20">
        <v>38895424.619999997</v>
      </c>
    </row>
    <row r="21" spans="1:5">
      <c r="A21">
        <v>20</v>
      </c>
      <c r="B21">
        <v>10</v>
      </c>
      <c r="C21" t="s">
        <v>29</v>
      </c>
      <c r="D21">
        <v>9</v>
      </c>
      <c r="E21">
        <v>37297.58</v>
      </c>
    </row>
    <row r="22" spans="1:5">
      <c r="A22">
        <v>21</v>
      </c>
      <c r="B22">
        <v>11</v>
      </c>
      <c r="C22" t="s">
        <v>30</v>
      </c>
      <c r="D22">
        <v>14</v>
      </c>
      <c r="E22">
        <v>72713.75</v>
      </c>
    </row>
    <row r="23" spans="1:5">
      <c r="A23">
        <v>22</v>
      </c>
      <c r="B23">
        <v>29</v>
      </c>
      <c r="C23" t="s">
        <v>20</v>
      </c>
      <c r="D23">
        <v>14</v>
      </c>
      <c r="E23">
        <v>90233.13</v>
      </c>
    </row>
    <row r="24" spans="1:5">
      <c r="A24">
        <v>23</v>
      </c>
      <c r="B24">
        <v>35</v>
      </c>
      <c r="C24" t="s">
        <v>21</v>
      </c>
      <c r="D24">
        <v>6</v>
      </c>
      <c r="E24">
        <v>8507.1</v>
      </c>
    </row>
    <row r="25" spans="1:5">
      <c r="A25">
        <v>24</v>
      </c>
      <c r="B25">
        <v>39</v>
      </c>
      <c r="C25" t="s">
        <v>23</v>
      </c>
      <c r="D25">
        <v>0</v>
      </c>
      <c r="E25">
        <v>0</v>
      </c>
    </row>
    <row r="26" spans="1:5">
      <c r="A26">
        <v>25</v>
      </c>
      <c r="B26">
        <v>47</v>
      </c>
      <c r="C26" t="s">
        <v>24</v>
      </c>
      <c r="D26">
        <v>0</v>
      </c>
      <c r="E26">
        <v>0</v>
      </c>
    </row>
    <row r="27" spans="1:5">
      <c r="A27">
        <v>26</v>
      </c>
      <c r="B27">
        <v>51</v>
      </c>
      <c r="C27" t="s">
        <v>25</v>
      </c>
      <c r="D27">
        <v>0</v>
      </c>
      <c r="E27">
        <v>0</v>
      </c>
    </row>
    <row r="28" spans="1:5">
      <c r="A28">
        <v>27</v>
      </c>
      <c r="B28">
        <v>53</v>
      </c>
      <c r="C28" t="s">
        <v>27</v>
      </c>
      <c r="D28">
        <v>3</v>
      </c>
      <c r="E28">
        <v>7589.18</v>
      </c>
    </row>
    <row r="29" spans="1:5">
      <c r="A29">
        <v>28</v>
      </c>
      <c r="B29">
        <v>60</v>
      </c>
      <c r="C29" t="s">
        <v>28</v>
      </c>
      <c r="D29">
        <v>4</v>
      </c>
      <c r="E29">
        <v>75462.600000000006</v>
      </c>
    </row>
    <row r="30" spans="1:5">
      <c r="A30">
        <v>29</v>
      </c>
      <c r="B30">
        <v>78</v>
      </c>
      <c r="C30" t="s">
        <v>22</v>
      </c>
      <c r="D30">
        <v>21</v>
      </c>
      <c r="E30">
        <v>60904.3</v>
      </c>
    </row>
    <row r="31" spans="1:5">
      <c r="A31">
        <v>30</v>
      </c>
      <c r="B31">
        <v>80</v>
      </c>
      <c r="C31" t="s">
        <v>26</v>
      </c>
      <c r="D31">
        <v>0</v>
      </c>
      <c r="E31">
        <v>0</v>
      </c>
    </row>
    <row r="32" spans="1:5">
      <c r="C32" t="s">
        <v>31</v>
      </c>
      <c r="D32">
        <v>71</v>
      </c>
      <c r="E32">
        <v>352707.64</v>
      </c>
    </row>
    <row r="33" spans="1:5">
      <c r="A33">
        <v>32</v>
      </c>
      <c r="B33">
        <v>1</v>
      </c>
      <c r="C33" t="s">
        <v>143</v>
      </c>
      <c r="D33">
        <v>4</v>
      </c>
      <c r="E33">
        <v>2601.59</v>
      </c>
    </row>
    <row r="34" spans="1:5">
      <c r="A34">
        <v>33</v>
      </c>
      <c r="B34">
        <v>8</v>
      </c>
      <c r="C34" t="s">
        <v>36</v>
      </c>
      <c r="D34">
        <v>0</v>
      </c>
      <c r="E34">
        <v>0</v>
      </c>
    </row>
    <row r="35" spans="1:5">
      <c r="A35">
        <v>34</v>
      </c>
      <c r="B35">
        <v>85</v>
      </c>
      <c r="C35" t="s">
        <v>144</v>
      </c>
      <c r="D35">
        <v>9</v>
      </c>
      <c r="E35">
        <v>21695.8</v>
      </c>
    </row>
    <row r="36" spans="1:5">
      <c r="A36">
        <v>35</v>
      </c>
      <c r="B36">
        <v>23</v>
      </c>
      <c r="C36" t="s">
        <v>34</v>
      </c>
      <c r="D36">
        <v>97</v>
      </c>
      <c r="E36">
        <v>389603.45</v>
      </c>
    </row>
    <row r="37" spans="1:5">
      <c r="A37">
        <v>36</v>
      </c>
      <c r="B37">
        <v>30</v>
      </c>
      <c r="C37" t="s">
        <v>32</v>
      </c>
      <c r="D37">
        <v>19</v>
      </c>
      <c r="E37">
        <v>79773.2</v>
      </c>
    </row>
    <row r="38" spans="1:5">
      <c r="A38">
        <v>37</v>
      </c>
      <c r="B38">
        <v>34</v>
      </c>
      <c r="C38" t="s">
        <v>33</v>
      </c>
      <c r="D38">
        <v>57</v>
      </c>
      <c r="E38">
        <v>305415</v>
      </c>
    </row>
    <row r="39" spans="1:5">
      <c r="A39">
        <v>38</v>
      </c>
      <c r="B39">
        <v>61</v>
      </c>
      <c r="C39" t="s">
        <v>37</v>
      </c>
      <c r="D39">
        <v>59</v>
      </c>
      <c r="E39">
        <v>364024.35</v>
      </c>
    </row>
    <row r="40" spans="1:5">
      <c r="A40">
        <v>39</v>
      </c>
      <c r="B40">
        <v>86</v>
      </c>
      <c r="C40" t="s">
        <v>145</v>
      </c>
      <c r="D40">
        <v>2</v>
      </c>
      <c r="E40">
        <v>121969.19</v>
      </c>
    </row>
    <row r="41" spans="1:5">
      <c r="C41" t="s">
        <v>38</v>
      </c>
      <c r="D41">
        <v>247</v>
      </c>
      <c r="E41">
        <v>1285082.58</v>
      </c>
    </row>
    <row r="42" spans="1:5">
      <c r="A42">
        <v>41</v>
      </c>
      <c r="B42">
        <v>5</v>
      </c>
      <c r="C42" t="s">
        <v>41</v>
      </c>
      <c r="D42">
        <v>18</v>
      </c>
      <c r="E42">
        <v>72761.27</v>
      </c>
    </row>
    <row r="43" spans="1:5">
      <c r="A43">
        <v>42</v>
      </c>
      <c r="B43">
        <v>6</v>
      </c>
      <c r="C43" t="s">
        <v>42</v>
      </c>
      <c r="D43">
        <v>4</v>
      </c>
      <c r="E43">
        <v>2205.46</v>
      </c>
    </row>
    <row r="44" spans="1:5">
      <c r="A44">
        <v>43</v>
      </c>
      <c r="B44">
        <v>7</v>
      </c>
      <c r="C44" t="s">
        <v>39</v>
      </c>
      <c r="D44">
        <v>4</v>
      </c>
      <c r="E44">
        <v>34358.370000000003</v>
      </c>
    </row>
    <row r="45" spans="1:5">
      <c r="A45">
        <v>44</v>
      </c>
      <c r="B45">
        <v>9</v>
      </c>
      <c r="C45" t="s">
        <v>40</v>
      </c>
      <c r="D45">
        <v>3</v>
      </c>
      <c r="E45">
        <v>20646.080000000002</v>
      </c>
    </row>
    <row r="46" spans="1:5">
      <c r="A46">
        <v>45</v>
      </c>
      <c r="B46">
        <v>15</v>
      </c>
      <c r="C46" t="s">
        <v>43</v>
      </c>
      <c r="D46">
        <v>10</v>
      </c>
      <c r="E46">
        <v>44799.89</v>
      </c>
    </row>
    <row r="47" spans="1:5">
      <c r="A47">
        <v>46</v>
      </c>
      <c r="B47">
        <v>20</v>
      </c>
      <c r="C47" t="s">
        <v>45</v>
      </c>
      <c r="D47">
        <v>0</v>
      </c>
      <c r="E47">
        <v>0</v>
      </c>
    </row>
    <row r="48" spans="1:5">
      <c r="A48">
        <v>47</v>
      </c>
      <c r="B48">
        <v>26</v>
      </c>
      <c r="C48" t="s">
        <v>44</v>
      </c>
      <c r="D48">
        <v>34</v>
      </c>
      <c r="E48">
        <v>148324.85</v>
      </c>
    </row>
    <row r="49" spans="1:5">
      <c r="C49" t="s">
        <v>46</v>
      </c>
      <c r="D49">
        <v>73</v>
      </c>
      <c r="E49">
        <v>323095.92</v>
      </c>
    </row>
    <row r="50" spans="1:5">
      <c r="A50">
        <v>49</v>
      </c>
      <c r="B50">
        <v>2</v>
      </c>
      <c r="C50" t="s">
        <v>52</v>
      </c>
      <c r="D50">
        <v>9</v>
      </c>
      <c r="E50">
        <v>14248.23</v>
      </c>
    </row>
    <row r="51" spans="1:5">
      <c r="A51">
        <v>50</v>
      </c>
      <c r="B51">
        <v>12</v>
      </c>
      <c r="C51" t="s">
        <v>53</v>
      </c>
      <c r="D51">
        <v>13</v>
      </c>
      <c r="E51">
        <v>18832</v>
      </c>
    </row>
    <row r="52" spans="1:5">
      <c r="A52">
        <v>51</v>
      </c>
      <c r="B52">
        <v>13</v>
      </c>
      <c r="C52" t="s">
        <v>54</v>
      </c>
      <c r="D52">
        <v>0</v>
      </c>
      <c r="E52">
        <v>0</v>
      </c>
    </row>
    <row r="53" spans="1:5">
      <c r="A53">
        <v>52</v>
      </c>
      <c r="B53">
        <v>16</v>
      </c>
      <c r="C53" t="s">
        <v>55</v>
      </c>
      <c r="D53">
        <v>91</v>
      </c>
      <c r="E53">
        <v>973442.96</v>
      </c>
    </row>
    <row r="54" spans="1:5">
      <c r="A54">
        <v>53</v>
      </c>
      <c r="B54">
        <v>18</v>
      </c>
      <c r="C54" t="s">
        <v>58</v>
      </c>
      <c r="D54">
        <v>0</v>
      </c>
      <c r="E54">
        <v>0</v>
      </c>
    </row>
    <row r="55" spans="1:5">
      <c r="A55">
        <v>54</v>
      </c>
      <c r="B55">
        <v>21</v>
      </c>
      <c r="C55" t="s">
        <v>60</v>
      </c>
      <c r="D55">
        <v>64</v>
      </c>
      <c r="E55">
        <v>196567.38</v>
      </c>
    </row>
    <row r="56" spans="1:5">
      <c r="A56">
        <v>55</v>
      </c>
      <c r="B56">
        <v>59</v>
      </c>
      <c r="C56" t="s">
        <v>51</v>
      </c>
      <c r="D56">
        <v>15</v>
      </c>
      <c r="E56">
        <v>83754.820000000007</v>
      </c>
    </row>
    <row r="57" spans="1:5">
      <c r="A57">
        <v>56</v>
      </c>
      <c r="B57">
        <v>43</v>
      </c>
      <c r="C57" t="s">
        <v>47</v>
      </c>
      <c r="D57">
        <v>8</v>
      </c>
      <c r="E57">
        <v>11037.28</v>
      </c>
    </row>
    <row r="58" spans="1:5">
      <c r="A58">
        <v>57</v>
      </c>
      <c r="B58">
        <v>52</v>
      </c>
      <c r="C58" t="s">
        <v>48</v>
      </c>
      <c r="D58">
        <v>56</v>
      </c>
      <c r="E58">
        <v>289411.40000000002</v>
      </c>
    </row>
    <row r="59" spans="1:5">
      <c r="A59">
        <v>58</v>
      </c>
      <c r="B59">
        <v>56</v>
      </c>
      <c r="C59" t="s">
        <v>49</v>
      </c>
      <c r="D59">
        <v>0</v>
      </c>
      <c r="E59">
        <v>0</v>
      </c>
    </row>
    <row r="60" spans="1:5">
      <c r="A60">
        <v>59</v>
      </c>
      <c r="B60">
        <v>58</v>
      </c>
      <c r="C60" t="s">
        <v>50</v>
      </c>
      <c r="D60">
        <v>0</v>
      </c>
      <c r="E60">
        <v>0</v>
      </c>
    </row>
    <row r="61" spans="1:5">
      <c r="A61">
        <v>60</v>
      </c>
      <c r="B61">
        <v>63</v>
      </c>
      <c r="C61" t="s">
        <v>56</v>
      </c>
      <c r="D61">
        <v>111</v>
      </c>
      <c r="E61">
        <v>2859079.67</v>
      </c>
    </row>
    <row r="62" spans="1:5">
      <c r="A62">
        <v>61</v>
      </c>
      <c r="B62">
        <v>64</v>
      </c>
      <c r="C62" t="s">
        <v>57</v>
      </c>
      <c r="D62">
        <v>190</v>
      </c>
      <c r="E62">
        <v>3384356.4</v>
      </c>
    </row>
    <row r="63" spans="1:5">
      <c r="A63">
        <v>62</v>
      </c>
      <c r="B63">
        <v>73</v>
      </c>
      <c r="C63" t="s">
        <v>59</v>
      </c>
      <c r="D63">
        <v>92</v>
      </c>
      <c r="E63">
        <v>379588.04</v>
      </c>
    </row>
    <row r="64" spans="1:5">
      <c r="C64" t="s">
        <v>61</v>
      </c>
      <c r="D64">
        <v>649</v>
      </c>
      <c r="E64">
        <v>8210318.1799999997</v>
      </c>
    </row>
    <row r="65" spans="1:5">
      <c r="A65">
        <v>64</v>
      </c>
      <c r="B65">
        <v>45</v>
      </c>
      <c r="C65" t="s">
        <v>62</v>
      </c>
      <c r="D65">
        <v>3</v>
      </c>
      <c r="E65">
        <v>120342.7</v>
      </c>
    </row>
    <row r="66" spans="1:5">
      <c r="A66">
        <v>65</v>
      </c>
      <c r="B66">
        <v>66</v>
      </c>
      <c r="C66" t="s">
        <v>63</v>
      </c>
      <c r="D66">
        <v>35</v>
      </c>
      <c r="E66">
        <v>196970.51</v>
      </c>
    </row>
    <row r="67" spans="1:5">
      <c r="A67">
        <v>66</v>
      </c>
      <c r="B67">
        <v>72</v>
      </c>
      <c r="C67" t="s">
        <v>64</v>
      </c>
      <c r="D67">
        <v>16</v>
      </c>
      <c r="E67">
        <v>45402.87</v>
      </c>
    </row>
    <row r="68" spans="1:5">
      <c r="A68">
        <v>67</v>
      </c>
      <c r="B68">
        <v>74</v>
      </c>
      <c r="C68" t="s">
        <v>66</v>
      </c>
      <c r="D68">
        <v>16</v>
      </c>
      <c r="E68">
        <v>237696.66</v>
      </c>
    </row>
    <row r="69" spans="1:5">
      <c r="A69">
        <v>68</v>
      </c>
      <c r="B69">
        <v>81</v>
      </c>
      <c r="C69" t="s">
        <v>65</v>
      </c>
      <c r="D69">
        <v>34</v>
      </c>
      <c r="E69">
        <v>210239.56</v>
      </c>
    </row>
    <row r="70" spans="1:5">
      <c r="A70">
        <v>69</v>
      </c>
      <c r="B70">
        <v>83</v>
      </c>
      <c r="C70" t="s">
        <v>67</v>
      </c>
      <c r="D70">
        <v>13</v>
      </c>
      <c r="E70">
        <v>537859</v>
      </c>
    </row>
    <row r="71" spans="1:5">
      <c r="C71" t="s">
        <v>68</v>
      </c>
      <c r="D71">
        <v>117</v>
      </c>
      <c r="E71">
        <v>1348511.3</v>
      </c>
    </row>
    <row r="72" spans="1:5">
      <c r="A72">
        <v>71</v>
      </c>
      <c r="B72">
        <v>4</v>
      </c>
      <c r="C72" t="s">
        <v>146</v>
      </c>
      <c r="D72">
        <v>1</v>
      </c>
      <c r="E72">
        <v>253.51</v>
      </c>
    </row>
    <row r="73" spans="1:5">
      <c r="A73">
        <v>72</v>
      </c>
      <c r="B73">
        <v>17</v>
      </c>
      <c r="C73" t="s">
        <v>78</v>
      </c>
      <c r="D73">
        <v>1</v>
      </c>
      <c r="E73">
        <v>94.09</v>
      </c>
    </row>
    <row r="74" spans="1:5">
      <c r="A74">
        <v>73</v>
      </c>
      <c r="B74">
        <v>19</v>
      </c>
      <c r="C74" t="s">
        <v>79</v>
      </c>
      <c r="D74">
        <v>1</v>
      </c>
      <c r="E74">
        <v>24143.3</v>
      </c>
    </row>
    <row r="75" spans="1:5">
      <c r="A75">
        <v>74</v>
      </c>
      <c r="B75">
        <v>22</v>
      </c>
      <c r="C75" t="s">
        <v>69</v>
      </c>
      <c r="D75">
        <v>0</v>
      </c>
      <c r="E75">
        <v>0</v>
      </c>
    </row>
    <row r="76" spans="1:5">
      <c r="A76">
        <v>75</v>
      </c>
      <c r="B76">
        <v>24</v>
      </c>
      <c r="C76" t="s">
        <v>73</v>
      </c>
      <c r="D76">
        <v>12</v>
      </c>
      <c r="E76">
        <v>59684</v>
      </c>
    </row>
    <row r="77" spans="1:5">
      <c r="A77">
        <v>76</v>
      </c>
      <c r="B77">
        <v>38</v>
      </c>
      <c r="C77" t="s">
        <v>71</v>
      </c>
      <c r="D77">
        <v>9</v>
      </c>
      <c r="E77">
        <v>34692.879999999997</v>
      </c>
    </row>
    <row r="78" spans="1:5">
      <c r="A78">
        <v>77</v>
      </c>
      <c r="B78">
        <v>42</v>
      </c>
      <c r="C78" t="s">
        <v>147</v>
      </c>
      <c r="D78">
        <v>6</v>
      </c>
      <c r="E78">
        <v>30934.7</v>
      </c>
    </row>
    <row r="79" spans="1:5">
      <c r="A79">
        <v>78</v>
      </c>
      <c r="B79">
        <v>54</v>
      </c>
      <c r="C79" t="s">
        <v>74</v>
      </c>
      <c r="D79">
        <v>4</v>
      </c>
      <c r="E79">
        <v>50925.95</v>
      </c>
    </row>
    <row r="80" spans="1:5">
      <c r="A80">
        <v>79</v>
      </c>
      <c r="B80">
        <v>55</v>
      </c>
      <c r="C80" t="s">
        <v>75</v>
      </c>
      <c r="D80">
        <v>2</v>
      </c>
      <c r="E80">
        <v>14866.2</v>
      </c>
    </row>
    <row r="81" spans="1:5">
      <c r="A81">
        <v>80</v>
      </c>
      <c r="B81">
        <v>70</v>
      </c>
      <c r="C81" t="s">
        <v>80</v>
      </c>
      <c r="D81">
        <v>2</v>
      </c>
      <c r="E81">
        <v>30356.05</v>
      </c>
    </row>
    <row r="82" spans="1:5">
      <c r="C82" t="s">
        <v>81</v>
      </c>
      <c r="D82">
        <v>38</v>
      </c>
      <c r="E82">
        <v>245950.68</v>
      </c>
    </row>
    <row r="83" spans="1:5">
      <c r="A83">
        <v>82</v>
      </c>
      <c r="B83">
        <v>3</v>
      </c>
      <c r="C83" t="s">
        <v>77</v>
      </c>
      <c r="D83">
        <v>2</v>
      </c>
      <c r="E83">
        <v>24356.82</v>
      </c>
    </row>
    <row r="84" spans="1:5">
      <c r="A84">
        <v>83</v>
      </c>
      <c r="B84">
        <v>14</v>
      </c>
      <c r="C84" t="s">
        <v>87</v>
      </c>
      <c r="D84">
        <v>5</v>
      </c>
      <c r="E84">
        <v>29853.61</v>
      </c>
    </row>
    <row r="85" spans="1:5">
      <c r="A85">
        <v>84</v>
      </c>
      <c r="B85">
        <v>75</v>
      </c>
      <c r="C85" t="s">
        <v>70</v>
      </c>
      <c r="D85">
        <v>3</v>
      </c>
      <c r="E85">
        <v>21163.8</v>
      </c>
    </row>
    <row r="86" spans="1:5">
      <c r="A86">
        <v>85</v>
      </c>
      <c r="B86">
        <v>41</v>
      </c>
      <c r="C86" t="s">
        <v>84</v>
      </c>
      <c r="D86">
        <v>5</v>
      </c>
      <c r="E86">
        <v>68491.759999999995</v>
      </c>
    </row>
    <row r="87" spans="1:5">
      <c r="A87">
        <v>86</v>
      </c>
      <c r="B87">
        <v>25</v>
      </c>
      <c r="C87" t="s">
        <v>86</v>
      </c>
      <c r="D87">
        <v>4</v>
      </c>
      <c r="E87">
        <v>2932.05</v>
      </c>
    </row>
    <row r="88" spans="1:5">
      <c r="A88">
        <v>87</v>
      </c>
      <c r="B88">
        <v>27</v>
      </c>
      <c r="C88" t="s">
        <v>89</v>
      </c>
      <c r="D88">
        <v>0</v>
      </c>
      <c r="E88">
        <v>0</v>
      </c>
    </row>
    <row r="89" spans="1:5">
      <c r="A89">
        <v>88</v>
      </c>
      <c r="B89">
        <v>28</v>
      </c>
      <c r="C89" t="s">
        <v>82</v>
      </c>
      <c r="D89">
        <v>0</v>
      </c>
      <c r="E89">
        <v>0</v>
      </c>
    </row>
    <row r="90" spans="1:5">
      <c r="A90">
        <v>89</v>
      </c>
      <c r="B90">
        <v>49</v>
      </c>
      <c r="C90" t="s">
        <v>85</v>
      </c>
      <c r="D90">
        <v>7</v>
      </c>
      <c r="E90">
        <v>39823.769999999997</v>
      </c>
    </row>
    <row r="91" spans="1:5">
      <c r="A91">
        <v>90</v>
      </c>
      <c r="B91">
        <v>65</v>
      </c>
      <c r="C91" t="s">
        <v>88</v>
      </c>
      <c r="D91">
        <v>4</v>
      </c>
      <c r="E91">
        <v>6493</v>
      </c>
    </row>
    <row r="92" spans="1:5">
      <c r="A92">
        <v>91</v>
      </c>
      <c r="B92">
        <v>79</v>
      </c>
      <c r="C92" t="s">
        <v>83</v>
      </c>
      <c r="D92">
        <v>0</v>
      </c>
      <c r="E92">
        <v>0</v>
      </c>
    </row>
    <row r="93" spans="1:5">
      <c r="A93">
        <v>92</v>
      </c>
      <c r="B93">
        <v>82</v>
      </c>
      <c r="C93" t="s">
        <v>90</v>
      </c>
      <c r="D93">
        <v>0</v>
      </c>
      <c r="E93">
        <v>0</v>
      </c>
    </row>
    <row r="94" spans="1:5">
      <c r="C94" t="s">
        <v>91</v>
      </c>
      <c r="D94">
        <v>30</v>
      </c>
      <c r="E94">
        <v>193114.81</v>
      </c>
    </row>
    <row r="95" spans="1:5">
      <c r="A95">
        <v>94</v>
      </c>
      <c r="B95">
        <v>87</v>
      </c>
      <c r="C95" t="s">
        <v>148</v>
      </c>
      <c r="D95">
        <v>0</v>
      </c>
      <c r="E95">
        <v>0</v>
      </c>
    </row>
    <row r="96" spans="1:5">
      <c r="A96">
        <v>95</v>
      </c>
      <c r="B96">
        <v>88</v>
      </c>
      <c r="C96" t="s">
        <v>149</v>
      </c>
      <c r="D96">
        <v>0</v>
      </c>
      <c r="E96">
        <v>0</v>
      </c>
    </row>
    <row r="97" spans="1:5">
      <c r="A97">
        <v>96</v>
      </c>
      <c r="B97">
        <v>89</v>
      </c>
      <c r="C97" t="s">
        <v>150</v>
      </c>
      <c r="D97">
        <v>0</v>
      </c>
      <c r="E97">
        <v>0</v>
      </c>
    </row>
    <row r="98" spans="1:5">
      <c r="A98">
        <v>97</v>
      </c>
      <c r="B98">
        <v>90</v>
      </c>
      <c r="C98" t="s">
        <v>151</v>
      </c>
      <c r="D98">
        <v>0</v>
      </c>
      <c r="E98">
        <v>0</v>
      </c>
    </row>
    <row r="99" spans="1:5">
      <c r="C99" t="s">
        <v>152</v>
      </c>
    </row>
    <row r="100" spans="1:5">
      <c r="A100">
        <v>99</v>
      </c>
      <c r="B100">
        <v>84</v>
      </c>
      <c r="C100" t="s">
        <v>153</v>
      </c>
      <c r="D100">
        <v>1</v>
      </c>
      <c r="E100">
        <v>414.7</v>
      </c>
    </row>
    <row r="101" spans="1:5">
      <c r="C101" t="s">
        <v>154</v>
      </c>
      <c r="D101">
        <v>1</v>
      </c>
      <c r="E101">
        <v>414.7</v>
      </c>
    </row>
    <row r="102" spans="1:5">
      <c r="C102" t="s">
        <v>92</v>
      </c>
      <c r="D102">
        <v>3137</v>
      </c>
      <c r="E102">
        <v>50854620.43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ПОСТУПИВШИЕ</vt:lpstr>
      <vt:lpstr>ПОСТУПИВШИЕ ПРИГР</vt:lpstr>
      <vt:lpstr>Для Усовой</vt:lpstr>
      <vt:lpstr>Баландина по Усовой</vt:lpstr>
      <vt:lpstr>Расход</vt:lpstr>
      <vt:lpstr>СВОД</vt:lpstr>
      <vt:lpstr>Расход пригр</vt:lpstr>
      <vt:lpstr>СВОД (2)</vt:lpstr>
      <vt:lpstr>Лист2</vt:lpstr>
      <vt:lpstr>Лист3</vt:lpstr>
      <vt:lpstr>СВОД (3)</vt:lpstr>
      <vt:lpstr>Лист4</vt:lpstr>
      <vt:lpstr>Расход!Область_печати</vt:lpstr>
    </vt:vector>
  </TitlesOfParts>
  <Company>ТФОМС_Пенза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sdat</dc:creator>
  <cp:lastModifiedBy>33-inet</cp:lastModifiedBy>
  <cp:lastPrinted>2025-03-10T14:01:50Z</cp:lastPrinted>
  <dcterms:created xsi:type="dcterms:W3CDTF">2015-12-04T07:46:17Z</dcterms:created>
  <dcterms:modified xsi:type="dcterms:W3CDTF">2025-03-11T14:37:19Z</dcterms:modified>
</cp:coreProperties>
</file>